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Wilhelmer\Desktop\gw\P\"/>
    </mc:Choice>
  </mc:AlternateContent>
  <xr:revisionPtr revIDLastSave="0" documentId="8_{36CBC070-3A3B-49D1-A98A-62E58B706375}" xr6:coauthVersionLast="47" xr6:coauthVersionMax="47" xr10:uidLastSave="{00000000-0000-0000-0000-000000000000}"/>
  <bookViews>
    <workbookView xWindow="33120" yWindow="1095" windowWidth="23430" windowHeight="12330" firstSheet="5" activeTab="5" xr2:uid="{56632BEF-A9E5-4C37-922F-C6BCB707A5C2}"/>
  </bookViews>
  <sheets>
    <sheet name="SP-Kinder" sheetId="14" r:id="rId1"/>
    <sheet name="DR-Kinder" sheetId="15" r:id="rId2"/>
    <sheet name="SL-Kinder" sheetId="16" r:id="rId3"/>
    <sheet name="SP-U14" sheetId="9" r:id="rId4"/>
    <sheet name="DR-U14" sheetId="13" r:id="rId5"/>
    <sheet name="SL-U14" sheetId="5" r:id="rId6"/>
    <sheet name="SP-U18" sheetId="10" r:id="rId7"/>
    <sheet name="DR-U18" sheetId="11" r:id="rId8"/>
    <sheet name="SL-U18" sheetId="6" r:id="rId9"/>
  </sheets>
  <definedNames>
    <definedName name="_xlnm._FilterDatabase" localSheetId="1" hidden="1">'DR-Kinder'!$A$7:$O$19</definedName>
    <definedName name="_xlnm._FilterDatabase" localSheetId="4" hidden="1">'DR-U14'!$A$1:$O$6</definedName>
    <definedName name="_xlnm._FilterDatabase" localSheetId="7" hidden="1">'DR-U18'!$A$7:$N$25</definedName>
    <definedName name="_xlnm._FilterDatabase" localSheetId="2" hidden="1">'SL-Kinder'!$A$7:$P$22</definedName>
    <definedName name="_xlnm._FilterDatabase" localSheetId="5" hidden="1">'SL-U14'!$A$7:$T$22</definedName>
    <definedName name="_xlnm._FilterDatabase" localSheetId="8" hidden="1">'SL-U18'!$A$7:$Y$36</definedName>
    <definedName name="_xlnm._FilterDatabase" localSheetId="0" hidden="1">'SP-Kinder'!$A$7:$P$47</definedName>
    <definedName name="_xlnm._FilterDatabase" localSheetId="3" hidden="1">'SP-U14'!$A$7:$P$47</definedName>
    <definedName name="_xlnm._FilterDatabase" localSheetId="6" hidden="1">'SP-U18'!$A$7:$R$27</definedName>
    <definedName name="_xlnm.Print_Area" localSheetId="1">'DR-Kinder'!$A:$N</definedName>
    <definedName name="_xlnm.Print_Area" localSheetId="4">'DR-U14'!$A:$N</definedName>
    <definedName name="_xlnm.Print_Area" localSheetId="7">'DR-U18'!$A:$M</definedName>
    <definedName name="_xlnm.Print_Area" localSheetId="2">'SL-Kinder'!$A:$O</definedName>
    <definedName name="_xlnm.Print_Area" localSheetId="5">'SL-U14'!$A:$S</definedName>
    <definedName name="_xlnm.Print_Area" localSheetId="8">'SL-U18'!$A:$X</definedName>
    <definedName name="_xlnm.Print_Area" localSheetId="0">'SP-Kinder'!$A:$O</definedName>
    <definedName name="_xlnm.Print_Area" localSheetId="3">'SP-U14'!$A:$O</definedName>
    <definedName name="_xlnm.Print_Area" localSheetId="6">'SP-U18'!$A:$Q</definedName>
    <definedName name="_xlnm.Criteria" localSheetId="1">'DR-Kinder'!$N$8:$N$19</definedName>
    <definedName name="_xlnm.Criteria" localSheetId="4">'DR-U14'!$N$8:$N$23</definedName>
    <definedName name="_xlnm.Criteria" localSheetId="7">'DR-U18'!$M$8:$M$25</definedName>
    <definedName name="_xlnm.Criteria" localSheetId="2">'SL-Kinder'!$O$8:$O$22</definedName>
    <definedName name="_xlnm.Criteria" localSheetId="5">'SL-U14'!$S$8:$S$22</definedName>
    <definedName name="_xlnm.Criteria" localSheetId="8">'SL-U18'!$X$8:$X$36</definedName>
    <definedName name="_xlnm.Criteria" localSheetId="0">'SP-Kinder'!$O$8:$O$47</definedName>
    <definedName name="_xlnm.Criteria" localSheetId="3">'SP-U14'!$O$8:$O$47</definedName>
    <definedName name="_xlnm.Criteria" localSheetId="6">'SP-U18'!$Q$8:$Q$27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5" l="1"/>
  <c r="B29" i="15"/>
  <c r="O26" i="15"/>
  <c r="N26" i="15" s="1" a="1"/>
  <c r="N26" i="15" s="1"/>
  <c r="O27" i="15"/>
  <c r="N27" i="15" s="1" a="1"/>
  <c r="N27" i="15" s="1"/>
  <c r="O28" i="15"/>
  <c r="N28" i="15" s="1" a="1"/>
  <c r="N28" i="15" s="1"/>
  <c r="O29" i="15"/>
  <c r="N29" i="15" s="1" a="1"/>
  <c r="N29" i="15" s="1"/>
  <c r="B30" i="15"/>
  <c r="B31" i="15"/>
  <c r="O30" i="15"/>
  <c r="N30" i="15" s="1" a="1"/>
  <c r="N30" i="15" s="1"/>
  <c r="O31" i="15"/>
  <c r="N31" i="15" s="1" a="1"/>
  <c r="N31" i="15" s="1"/>
  <c r="B32" i="15"/>
  <c r="O32" i="15"/>
  <c r="B56" i="14"/>
  <c r="B57" i="14"/>
  <c r="P55" i="14"/>
  <c r="Q55" i="14" s="1"/>
  <c r="P56" i="14"/>
  <c r="Q56" i="14" s="1"/>
  <c r="P57" i="14"/>
  <c r="O57" i="14" s="1"/>
  <c r="B58" i="14"/>
  <c r="B59" i="14"/>
  <c r="P58" i="14"/>
  <c r="O58" i="14" s="1"/>
  <c r="P59" i="14"/>
  <c r="O59" i="14" s="1"/>
  <c r="B60" i="14"/>
  <c r="P60" i="14"/>
  <c r="O60" i="14" s="1"/>
  <c r="P54" i="14"/>
  <c r="O54" i="14" s="1"/>
  <c r="P61" i="14"/>
  <c r="Q61" i="14" s="1"/>
  <c r="B15" i="13"/>
  <c r="B16" i="13"/>
  <c r="B17" i="13"/>
  <c r="B18" i="13"/>
  <c r="B19" i="13"/>
  <c r="B20" i="13"/>
  <c r="B21" i="13"/>
  <c r="B22" i="13"/>
  <c r="B23" i="13"/>
  <c r="O14" i="13"/>
  <c r="N14" i="13" s="1" a="1"/>
  <c r="N14" i="13" s="1"/>
  <c r="O15" i="13"/>
  <c r="N15" i="13" s="1" a="1"/>
  <c r="N15" i="13" s="1"/>
  <c r="O16" i="13"/>
  <c r="N16" i="13" s="1" a="1"/>
  <c r="N16" i="13" s="1"/>
  <c r="O17" i="13"/>
  <c r="N17" i="13" s="1" a="1"/>
  <c r="N17" i="13" s="1"/>
  <c r="O18" i="13"/>
  <c r="N18" i="13" s="1" a="1"/>
  <c r="N18" i="13" s="1"/>
  <c r="O19" i="13"/>
  <c r="N19" i="13" s="1" a="1"/>
  <c r="N19" i="13" s="1"/>
  <c r="O20" i="13"/>
  <c r="N20" i="13" s="1" a="1"/>
  <c r="N20" i="13" s="1"/>
  <c r="O21" i="13"/>
  <c r="N21" i="13" s="1" a="1"/>
  <c r="N21" i="13" s="1"/>
  <c r="O22" i="13"/>
  <c r="N22" i="13" s="1" a="1"/>
  <c r="N22" i="13" s="1"/>
  <c r="O23" i="13"/>
  <c r="N23" i="13" s="1" a="1"/>
  <c r="N23" i="13" s="1"/>
  <c r="P16" i="13"/>
  <c r="O12" i="13"/>
  <c r="N12" i="13" s="1" a="1"/>
  <c r="N12" i="13" s="1"/>
  <c r="B39" i="11"/>
  <c r="B40" i="11"/>
  <c r="B41" i="11"/>
  <c r="B42" i="11"/>
  <c r="B43" i="11"/>
  <c r="B44" i="11"/>
  <c r="B45" i="11"/>
  <c r="B46" i="11"/>
  <c r="B47" i="11"/>
  <c r="B48" i="11"/>
  <c r="B18" i="16"/>
  <c r="B19" i="16"/>
  <c r="B20" i="16"/>
  <c r="B21" i="16"/>
  <c r="B22" i="16"/>
  <c r="Y55" i="6"/>
  <c r="Z55" i="6" s="1"/>
  <c r="B55" i="6"/>
  <c r="Y54" i="6"/>
  <c r="Z54" i="6" s="1"/>
  <c r="B54" i="6"/>
  <c r="Y53" i="6"/>
  <c r="X53" i="6" s="1"/>
  <c r="B53" i="6"/>
  <c r="Y52" i="6"/>
  <c r="Z52" i="6" s="1"/>
  <c r="Y51" i="6"/>
  <c r="X51" i="6" s="1"/>
  <c r="Y50" i="6"/>
  <c r="Z50" i="6" s="1"/>
  <c r="Y49" i="6"/>
  <c r="Z49" i="6" s="1"/>
  <c r="Y48" i="6"/>
  <c r="Z48" i="6" s="1"/>
  <c r="Y47" i="6"/>
  <c r="X47" i="6" s="1"/>
  <c r="Y46" i="6"/>
  <c r="Z46" i="6" s="1"/>
  <c r="Y45" i="6"/>
  <c r="X45" i="6" s="1"/>
  <c r="Y44" i="6"/>
  <c r="Z44" i="6" s="1"/>
  <c r="Y43" i="6"/>
  <c r="Z43" i="6" s="1"/>
  <c r="P14" i="14"/>
  <c r="Q14" i="14" s="1"/>
  <c r="P16" i="14"/>
  <c r="P53" i="14"/>
  <c r="O53" i="14" s="1"/>
  <c r="P9" i="14"/>
  <c r="P10" i="14"/>
  <c r="Q10" i="14" s="1"/>
  <c r="P11" i="14"/>
  <c r="Q11" i="14" s="1"/>
  <c r="P12" i="14"/>
  <c r="O12" i="14" s="1"/>
  <c r="P13" i="14"/>
  <c r="Q13" i="14" s="1"/>
  <c r="P15" i="14"/>
  <c r="O15" i="14" s="1"/>
  <c r="P17" i="14"/>
  <c r="O17" i="14" s="1"/>
  <c r="P18" i="14"/>
  <c r="O18" i="14" s="1"/>
  <c r="P19" i="14"/>
  <c r="O19" i="14" s="1"/>
  <c r="P20" i="14"/>
  <c r="O20" i="14" s="1"/>
  <c r="P21" i="14"/>
  <c r="Q21" i="14" s="1"/>
  <c r="P22" i="14"/>
  <c r="O22" i="14" s="1"/>
  <c r="P23" i="14"/>
  <c r="Q23" i="14" s="1"/>
  <c r="P24" i="14"/>
  <c r="Q24" i="14" s="1"/>
  <c r="P25" i="14"/>
  <c r="Q25" i="14" s="1"/>
  <c r="P26" i="14"/>
  <c r="Q26" i="14" s="1"/>
  <c r="P27" i="14"/>
  <c r="Q27" i="14" s="1"/>
  <c r="P28" i="14"/>
  <c r="Q28" i="14" s="1"/>
  <c r="P29" i="14"/>
  <c r="Q29" i="14" s="1"/>
  <c r="P30" i="14"/>
  <c r="O30" i="14" s="1"/>
  <c r="P31" i="14"/>
  <c r="Q31" i="14" s="1"/>
  <c r="P32" i="14"/>
  <c r="O32" i="14" s="1"/>
  <c r="P33" i="14"/>
  <c r="Q33" i="14" s="1"/>
  <c r="P34" i="14"/>
  <c r="Q34" i="14" s="1"/>
  <c r="P35" i="14"/>
  <c r="Q35" i="14" s="1"/>
  <c r="P36" i="14"/>
  <c r="Q36" i="14" s="1"/>
  <c r="P37" i="14"/>
  <c r="Q37" i="14" s="1"/>
  <c r="P38" i="14"/>
  <c r="O38" i="14" s="1"/>
  <c r="P39" i="14"/>
  <c r="Q39" i="14" s="1"/>
  <c r="P40" i="14"/>
  <c r="Q40" i="14" s="1"/>
  <c r="P41" i="14"/>
  <c r="O41" i="14" s="1"/>
  <c r="P42" i="14"/>
  <c r="O42" i="14" s="1"/>
  <c r="P43" i="14"/>
  <c r="O43" i="14" s="1"/>
  <c r="P44" i="14"/>
  <c r="O44" i="14" s="1"/>
  <c r="P45" i="14"/>
  <c r="O45" i="14" s="1"/>
  <c r="P46" i="14"/>
  <c r="Q46" i="14" s="1"/>
  <c r="P47" i="14"/>
  <c r="Q47" i="14" s="1"/>
  <c r="O33" i="15"/>
  <c r="O25" i="15"/>
  <c r="N25" i="15" s="1" a="1"/>
  <c r="N25" i="15" s="1"/>
  <c r="O34" i="15"/>
  <c r="O8" i="15"/>
  <c r="N8" i="15" s="1"/>
  <c r="O9" i="15"/>
  <c r="N9" i="15" s="1"/>
  <c r="O10" i="15"/>
  <c r="P10" i="15" s="1"/>
  <c r="O11" i="15"/>
  <c r="P11" i="15" s="1"/>
  <c r="O12" i="15"/>
  <c r="P12" i="15" s="1"/>
  <c r="O13" i="15"/>
  <c r="P13" i="15" s="1"/>
  <c r="O14" i="15"/>
  <c r="P14" i="15" s="1"/>
  <c r="O15" i="15"/>
  <c r="P15" i="15" s="1"/>
  <c r="O16" i="15"/>
  <c r="N16" i="15" s="1"/>
  <c r="O17" i="15"/>
  <c r="N17" i="15" s="1"/>
  <c r="O18" i="15"/>
  <c r="P18" i="15" s="1"/>
  <c r="O19" i="15"/>
  <c r="P19" i="15" s="1"/>
  <c r="P29" i="16"/>
  <c r="Q29" i="16" s="1"/>
  <c r="P28" i="16"/>
  <c r="O28" i="16" s="1"/>
  <c r="P30" i="16"/>
  <c r="Q30" i="16" s="1"/>
  <c r="P31" i="16"/>
  <c r="O31" i="16" s="1"/>
  <c r="P32" i="16"/>
  <c r="Q32" i="16" s="1"/>
  <c r="P33" i="16"/>
  <c r="O33" i="16" s="1"/>
  <c r="P34" i="16"/>
  <c r="O34" i="16" s="1"/>
  <c r="P35" i="16"/>
  <c r="Q35" i="16" s="1"/>
  <c r="P8" i="16"/>
  <c r="O8" i="16" s="1" a="1"/>
  <c r="O8" i="16" s="1"/>
  <c r="P18" i="16"/>
  <c r="P19" i="16"/>
  <c r="O19" i="16" s="1" a="1"/>
  <c r="O19" i="16" s="1"/>
  <c r="P9" i="16"/>
  <c r="O9" i="16" s="1" a="1"/>
  <c r="O9" i="16" s="1"/>
  <c r="P10" i="16"/>
  <c r="O10" i="16" s="1" a="1"/>
  <c r="O10" i="16" s="1"/>
  <c r="P11" i="16"/>
  <c r="O11" i="16" s="1" a="1"/>
  <c r="O11" i="16" s="1"/>
  <c r="P12" i="16"/>
  <c r="O12" i="16" s="1" a="1"/>
  <c r="O12" i="16" s="1"/>
  <c r="P13" i="16"/>
  <c r="O13" i="16" s="1" a="1"/>
  <c r="O13" i="16" s="1"/>
  <c r="P14" i="16"/>
  <c r="O14" i="16" s="1" a="1"/>
  <c r="O14" i="16" s="1"/>
  <c r="P15" i="16"/>
  <c r="P16" i="16"/>
  <c r="O16" i="16" s="1" a="1"/>
  <c r="O16" i="16" s="1"/>
  <c r="P17" i="16"/>
  <c r="O17" i="16" s="1" a="1"/>
  <c r="O17" i="16" s="1"/>
  <c r="P20" i="16"/>
  <c r="O20" i="16" s="1" a="1"/>
  <c r="O20" i="16" s="1"/>
  <c r="P21" i="16"/>
  <c r="O21" i="16" s="1" a="1"/>
  <c r="O21" i="16" s="1"/>
  <c r="P22" i="16"/>
  <c r="O22" i="16" s="1" a="1"/>
  <c r="O22" i="16" s="1"/>
  <c r="P53" i="9"/>
  <c r="Q53" i="9" s="1"/>
  <c r="P54" i="9"/>
  <c r="P55" i="9"/>
  <c r="O55" i="9" s="1"/>
  <c r="P56" i="9"/>
  <c r="O56" i="9" s="1"/>
  <c r="P57" i="9"/>
  <c r="Q57" i="9" s="1"/>
  <c r="P58" i="9"/>
  <c r="Q58" i="9" s="1"/>
  <c r="P59" i="9"/>
  <c r="P60" i="9"/>
  <c r="P61" i="9"/>
  <c r="Q61" i="9" s="1"/>
  <c r="P62" i="9"/>
  <c r="Q62" i="9" s="1"/>
  <c r="P63" i="9"/>
  <c r="Q63" i="9" s="1"/>
  <c r="P64" i="9"/>
  <c r="Q64" i="9" s="1"/>
  <c r="P8" i="9"/>
  <c r="Q8" i="9" s="1"/>
  <c r="P10" i="9"/>
  <c r="Q10" i="9" s="1"/>
  <c r="P9" i="9"/>
  <c r="P11" i="9"/>
  <c r="P14" i="9"/>
  <c r="Q14" i="9" s="1"/>
  <c r="P13" i="9"/>
  <c r="P15" i="9"/>
  <c r="Q15" i="9" s="1"/>
  <c r="P12" i="9"/>
  <c r="Q12" i="9" s="1"/>
  <c r="P16" i="9"/>
  <c r="Q16" i="9" s="1"/>
  <c r="P17" i="9"/>
  <c r="Q17" i="9" s="1"/>
  <c r="P18" i="9"/>
  <c r="Q18" i="9" s="1"/>
  <c r="P19" i="9"/>
  <c r="Q19" i="9" s="1"/>
  <c r="P20" i="9"/>
  <c r="Q20" i="9" s="1"/>
  <c r="P21" i="9"/>
  <c r="P22" i="9"/>
  <c r="Q22" i="9" s="1"/>
  <c r="P23" i="9"/>
  <c r="Q23" i="9" s="1"/>
  <c r="P24" i="9"/>
  <c r="Q24" i="9" s="1"/>
  <c r="P25" i="9"/>
  <c r="Q25" i="9" s="1"/>
  <c r="P26" i="9"/>
  <c r="P27" i="9"/>
  <c r="Q27" i="9" s="1"/>
  <c r="P28" i="9"/>
  <c r="Q28" i="9" s="1"/>
  <c r="P29" i="9"/>
  <c r="Q29" i="9" s="1"/>
  <c r="P30" i="9"/>
  <c r="Q30" i="9" s="1"/>
  <c r="P31" i="9"/>
  <c r="Q31" i="9" s="1"/>
  <c r="P32" i="9"/>
  <c r="Q32" i="9" s="1"/>
  <c r="P33" i="9"/>
  <c r="Q33" i="9" s="1"/>
  <c r="P34" i="9"/>
  <c r="Q34" i="9" s="1"/>
  <c r="P35" i="9"/>
  <c r="Q35" i="9" s="1"/>
  <c r="P36" i="9"/>
  <c r="Q36" i="9" s="1"/>
  <c r="P37" i="9"/>
  <c r="Q37" i="9" s="1"/>
  <c r="P38" i="9"/>
  <c r="Q38" i="9" s="1"/>
  <c r="P39" i="9"/>
  <c r="Q39" i="9" s="1"/>
  <c r="P40" i="9"/>
  <c r="Q40" i="9" s="1"/>
  <c r="P41" i="9"/>
  <c r="Q41" i="9" s="1"/>
  <c r="P42" i="9"/>
  <c r="Q42" i="9" s="1"/>
  <c r="P43" i="9"/>
  <c r="Q43" i="9" s="1"/>
  <c r="P44" i="9"/>
  <c r="Q44" i="9" s="1"/>
  <c r="P45" i="9"/>
  <c r="P46" i="9"/>
  <c r="Q46" i="9" s="1"/>
  <c r="P47" i="9"/>
  <c r="Q47" i="9" s="1"/>
  <c r="O29" i="13"/>
  <c r="P29" i="13" s="1"/>
  <c r="O30" i="13"/>
  <c r="P30" i="13" s="1"/>
  <c r="O31" i="13"/>
  <c r="O32" i="13"/>
  <c r="N32" i="13" s="1"/>
  <c r="O33" i="13"/>
  <c r="N33" i="13" s="1"/>
  <c r="O34" i="13"/>
  <c r="P34" i="13" s="1"/>
  <c r="O35" i="13"/>
  <c r="O36" i="13"/>
  <c r="N36" i="13" s="1"/>
  <c r="O37" i="13"/>
  <c r="P37" i="13" s="1"/>
  <c r="O38" i="13"/>
  <c r="P38" i="13" s="1"/>
  <c r="O39" i="13"/>
  <c r="N39" i="13" s="1"/>
  <c r="O40" i="13"/>
  <c r="N40" i="13" s="1"/>
  <c r="O41" i="13"/>
  <c r="P41" i="13" s="1"/>
  <c r="O9" i="13"/>
  <c r="N9" i="13" s="1" a="1"/>
  <c r="N9" i="13" s="1"/>
  <c r="O8" i="13"/>
  <c r="N8" i="13" s="1" a="1"/>
  <c r="N8" i="13" s="1"/>
  <c r="O11" i="13"/>
  <c r="N11" i="13" s="1" a="1"/>
  <c r="N11" i="13" s="1"/>
  <c r="O10" i="13"/>
  <c r="N10" i="13" s="1" a="1"/>
  <c r="N10" i="13" s="1"/>
  <c r="O13" i="13"/>
  <c r="N13" i="13" s="1" a="1"/>
  <c r="N13" i="13" s="1"/>
  <c r="T28" i="5"/>
  <c r="U28" i="5" s="1"/>
  <c r="T29" i="5"/>
  <c r="T30" i="5"/>
  <c r="U30" i="5" s="1"/>
  <c r="T31" i="5"/>
  <c r="U31" i="5" s="1"/>
  <c r="T32" i="5"/>
  <c r="U32" i="5" s="1"/>
  <c r="T33" i="5"/>
  <c r="U33" i="5" s="1"/>
  <c r="T34" i="5"/>
  <c r="T35" i="5"/>
  <c r="T12" i="5"/>
  <c r="S12" i="5" s="1"/>
  <c r="T9" i="5"/>
  <c r="U9" i="5" s="1"/>
  <c r="T8" i="5"/>
  <c r="S8" i="5" s="1"/>
  <c r="T10" i="5"/>
  <c r="U10" i="5" s="1"/>
  <c r="T11" i="5"/>
  <c r="U11" i="5" s="1"/>
  <c r="T13" i="5"/>
  <c r="U13" i="5" s="1"/>
  <c r="T14" i="5"/>
  <c r="S14" i="5" s="1"/>
  <c r="T15" i="5"/>
  <c r="T16" i="5"/>
  <c r="S16" i="5" s="1"/>
  <c r="T17" i="5"/>
  <c r="U17" i="5" s="1"/>
  <c r="T18" i="5"/>
  <c r="U18" i="5" s="1"/>
  <c r="T19" i="5"/>
  <c r="U19" i="5" s="1"/>
  <c r="T20" i="5"/>
  <c r="S20" i="5" s="1"/>
  <c r="T21" i="5"/>
  <c r="U21" i="5" s="1"/>
  <c r="T22" i="5"/>
  <c r="U22" i="5" s="1"/>
  <c r="R34" i="10"/>
  <c r="S34" i="10" s="1"/>
  <c r="R33" i="10"/>
  <c r="S33" i="10" s="1"/>
  <c r="R35" i="10"/>
  <c r="Q35" i="10" s="1"/>
  <c r="R36" i="10"/>
  <c r="S36" i="10" s="1"/>
  <c r="R37" i="10"/>
  <c r="S37" i="10" s="1"/>
  <c r="R38" i="10"/>
  <c r="S38" i="10" s="1"/>
  <c r="R39" i="10"/>
  <c r="Q39" i="10" s="1"/>
  <c r="R40" i="10"/>
  <c r="N31" i="11"/>
  <c r="O31" i="11" s="1"/>
  <c r="N32" i="11"/>
  <c r="O32" i="11" s="1"/>
  <c r="N33" i="11"/>
  <c r="O33" i="11" s="1"/>
  <c r="N34" i="11"/>
  <c r="O34" i="11" s="1"/>
  <c r="N35" i="11"/>
  <c r="N36" i="11"/>
  <c r="M36" i="11" s="1"/>
  <c r="N37" i="11"/>
  <c r="N38" i="11"/>
  <c r="O38" i="11" s="1"/>
  <c r="N39" i="11"/>
  <c r="N40" i="11"/>
  <c r="O40" i="11" s="1"/>
  <c r="N41" i="11"/>
  <c r="O41" i="11" s="1"/>
  <c r="N42" i="11"/>
  <c r="O42" i="11" s="1"/>
  <c r="N43" i="11"/>
  <c r="O43" i="11" s="1"/>
  <c r="N44" i="11"/>
  <c r="M44" i="11" s="1"/>
  <c r="N45" i="11"/>
  <c r="N46" i="11"/>
  <c r="O46" i="11" s="1"/>
  <c r="N47" i="11"/>
  <c r="O47" i="11" s="1"/>
  <c r="N48" i="11"/>
  <c r="O48" i="11" s="1"/>
  <c r="N9" i="11"/>
  <c r="O9" i="11" s="1"/>
  <c r="N14" i="11"/>
  <c r="O14" i="11" s="1"/>
  <c r="N10" i="11"/>
  <c r="M10" i="11" s="1"/>
  <c r="N18" i="11"/>
  <c r="O18" i="11" s="1"/>
  <c r="N8" i="11"/>
  <c r="N11" i="11"/>
  <c r="M11" i="11" s="1"/>
  <c r="N19" i="11"/>
  <c r="O19" i="11" s="1"/>
  <c r="N17" i="11"/>
  <c r="O17" i="11" s="1"/>
  <c r="N12" i="11"/>
  <c r="O12" i="11" s="1"/>
  <c r="N16" i="11"/>
  <c r="O16" i="11" s="1"/>
  <c r="N15" i="11"/>
  <c r="M15" i="11" s="1"/>
  <c r="N13" i="11"/>
  <c r="O13" i="11" s="1"/>
  <c r="N20" i="11"/>
  <c r="N21" i="11"/>
  <c r="M21" i="11" s="1"/>
  <c r="N22" i="11"/>
  <c r="O22" i="11" s="1"/>
  <c r="N23" i="11"/>
  <c r="O23" i="11" s="1"/>
  <c r="N24" i="11"/>
  <c r="O24" i="11" s="1"/>
  <c r="N25" i="11"/>
  <c r="O25" i="11" s="1"/>
  <c r="Y8" i="6"/>
  <c r="Z8" i="6" s="1"/>
  <c r="Y9" i="6"/>
  <c r="Z9" i="6" s="1"/>
  <c r="Y10" i="6"/>
  <c r="X10" i="6" s="1"/>
  <c r="Y11" i="6"/>
  <c r="Z11" i="6" s="1"/>
  <c r="Y14" i="6"/>
  <c r="Z14" i="6" s="1"/>
  <c r="Y15" i="6"/>
  <c r="Z15" i="6" s="1"/>
  <c r="Y12" i="6"/>
  <c r="Z12" i="6" s="1"/>
  <c r="Y16" i="6"/>
  <c r="X16" i="6" s="1"/>
  <c r="Y13" i="6"/>
  <c r="Z13" i="6" s="1"/>
  <c r="Y19" i="6"/>
  <c r="X19" i="6" s="1"/>
  <c r="Y17" i="6"/>
  <c r="Z17" i="6" s="1"/>
  <c r="Y18" i="6"/>
  <c r="Z18" i="6" s="1"/>
  <c r="Y20" i="6"/>
  <c r="Z20" i="6" s="1"/>
  <c r="Y21" i="6"/>
  <c r="Z21" i="6" s="1"/>
  <c r="Y22" i="6"/>
  <c r="X22" i="6" s="1"/>
  <c r="Y23" i="6"/>
  <c r="X23" i="6" s="1"/>
  <c r="Y24" i="6"/>
  <c r="Z24" i="6" s="1"/>
  <c r="Y25" i="6"/>
  <c r="X25" i="6" s="1"/>
  <c r="Y26" i="6"/>
  <c r="Z26" i="6" s="1"/>
  <c r="Y27" i="6"/>
  <c r="Z27" i="6" s="1"/>
  <c r="Y28" i="6"/>
  <c r="Z28" i="6" s="1"/>
  <c r="Y29" i="6"/>
  <c r="Z29" i="6" s="1"/>
  <c r="Y30" i="6"/>
  <c r="X30" i="6" s="1"/>
  <c r="Y31" i="6"/>
  <c r="X31" i="6" s="1"/>
  <c r="Y32" i="6"/>
  <c r="Z32" i="6" s="1"/>
  <c r="Y33" i="6"/>
  <c r="Z33" i="6" s="1"/>
  <c r="Y34" i="6"/>
  <c r="Z34" i="6" s="1"/>
  <c r="Y35" i="6"/>
  <c r="Z35" i="6" s="1"/>
  <c r="Y36" i="6"/>
  <c r="Z36" i="6" s="1"/>
  <c r="R9" i="10"/>
  <c r="S9" i="10" s="1"/>
  <c r="R8" i="10"/>
  <c r="S8" i="10" s="1"/>
  <c r="R10" i="10"/>
  <c r="S10" i="10" s="1"/>
  <c r="R11" i="10"/>
  <c r="S11" i="10" s="1"/>
  <c r="R12" i="10"/>
  <c r="Q12" i="10" s="1"/>
  <c r="R15" i="10"/>
  <c r="R13" i="10"/>
  <c r="S13" i="10" s="1"/>
  <c r="R14" i="10"/>
  <c r="R16" i="10"/>
  <c r="S16" i="10" s="1"/>
  <c r="R17" i="10"/>
  <c r="S17" i="10" s="1"/>
  <c r="R18" i="10"/>
  <c r="S18" i="10" s="1"/>
  <c r="R19" i="10"/>
  <c r="S19" i="10" s="1"/>
  <c r="R20" i="10"/>
  <c r="Q20" i="10" s="1"/>
  <c r="R21" i="10"/>
  <c r="S21" i="10" s="1"/>
  <c r="R22" i="10"/>
  <c r="S22" i="10" s="1"/>
  <c r="R23" i="10"/>
  <c r="R24" i="10"/>
  <c r="S24" i="10" s="1"/>
  <c r="R25" i="10"/>
  <c r="S25" i="10" s="1"/>
  <c r="R26" i="10"/>
  <c r="Q26" i="10" s="1"/>
  <c r="R27" i="10"/>
  <c r="S27" i="10" s="1"/>
  <c r="S40" i="10"/>
  <c r="S15" i="10"/>
  <c r="S14" i="10"/>
  <c r="S23" i="10"/>
  <c r="Q15" i="10"/>
  <c r="Q21" i="10"/>
  <c r="Q54" i="9"/>
  <c r="O59" i="9"/>
  <c r="Q60" i="9"/>
  <c r="O60" i="9"/>
  <c r="O54" i="9"/>
  <c r="O63" i="9"/>
  <c r="Q13" i="9"/>
  <c r="Q21" i="9"/>
  <c r="O45" i="9"/>
  <c r="Q9" i="14"/>
  <c r="Q9" i="9"/>
  <c r="Q11" i="9"/>
  <c r="Q26" i="9"/>
  <c r="Q18" i="14"/>
  <c r="O9" i="14"/>
  <c r="O10" i="14"/>
  <c r="O35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T29" i="14"/>
  <c r="B29" i="14"/>
  <c r="B28" i="14"/>
  <c r="B27" i="14"/>
  <c r="B26" i="14"/>
  <c r="B25" i="14"/>
  <c r="B24" i="14"/>
  <c r="B23" i="14"/>
  <c r="B22" i="14"/>
  <c r="B21" i="14"/>
  <c r="B20" i="14"/>
  <c r="U29" i="5"/>
  <c r="U34" i="5"/>
  <c r="U35" i="5"/>
  <c r="U15" i="5"/>
  <c r="N31" i="13"/>
  <c r="P35" i="13"/>
  <c r="O9" i="9"/>
  <c r="O13" i="9"/>
  <c r="O29" i="9"/>
  <c r="O35" i="11"/>
  <c r="O37" i="11"/>
  <c r="O39" i="11"/>
  <c r="O45" i="11"/>
  <c r="M37" i="11"/>
  <c r="O8" i="11"/>
  <c r="O20" i="11"/>
  <c r="N35" i="13"/>
  <c r="B20" i="5"/>
  <c r="B21" i="5"/>
  <c r="B22" i="5"/>
  <c r="P34" i="15" l="1"/>
  <c r="N34" i="15" a="1"/>
  <c r="N34" i="15" s="1"/>
  <c r="P33" i="15"/>
  <c r="N33" i="15" a="1"/>
  <c r="N33" i="15" s="1"/>
  <c r="P32" i="15"/>
  <c r="N32" i="15" a="1"/>
  <c r="N32" i="15" s="1"/>
  <c r="Q15" i="16"/>
  <c r="O15" i="16" a="1"/>
  <c r="O15" i="16" s="1"/>
  <c r="Q18" i="16"/>
  <c r="O18" i="16" a="1"/>
  <c r="O18" i="16" s="1"/>
  <c r="O29" i="16"/>
  <c r="S9" i="5"/>
  <c r="O61" i="9"/>
  <c r="O53" i="9"/>
  <c r="P19" i="13"/>
  <c r="B14" i="13"/>
  <c r="P18" i="13"/>
  <c r="P17" i="13"/>
  <c r="P40" i="13"/>
  <c r="P32" i="13"/>
  <c r="P30" i="15"/>
  <c r="P25" i="15"/>
  <c r="P28" i="15"/>
  <c r="P29" i="15"/>
  <c r="P31" i="15"/>
  <c r="P27" i="15"/>
  <c r="P26" i="15"/>
  <c r="O13" i="14"/>
  <c r="Q57" i="14"/>
  <c r="Q42" i="14"/>
  <c r="O56" i="14"/>
  <c r="O55" i="14"/>
  <c r="Q59" i="14"/>
  <c r="Q58" i="14"/>
  <c r="Q60" i="14"/>
  <c r="T21" i="14"/>
  <c r="O21" i="14"/>
  <c r="O29" i="14"/>
  <c r="O61" i="14"/>
  <c r="Q54" i="14"/>
  <c r="O33" i="14"/>
  <c r="T37" i="14"/>
  <c r="O37" i="14"/>
  <c r="S31" i="5"/>
  <c r="Q28" i="16"/>
  <c r="O32" i="16"/>
  <c r="P14" i="13"/>
  <c r="P22" i="13"/>
  <c r="N37" i="13"/>
  <c r="P12" i="13"/>
  <c r="P20" i="13"/>
  <c r="P21" i="13"/>
  <c r="P23" i="13"/>
  <c r="P15" i="13"/>
  <c r="O25" i="14"/>
  <c r="Q37" i="10"/>
  <c r="Q13" i="10"/>
  <c r="Q11" i="10"/>
  <c r="Q19" i="10"/>
  <c r="Q12" i="14"/>
  <c r="T30" i="14"/>
  <c r="Q38" i="14"/>
  <c r="Q30" i="14"/>
  <c r="Q45" i="14"/>
  <c r="T45" i="14"/>
  <c r="O58" i="9"/>
  <c r="Q56" i="9"/>
  <c r="O64" i="9"/>
  <c r="S12" i="10"/>
  <c r="Q36" i="10"/>
  <c r="S26" i="10"/>
  <c r="Q22" i="10"/>
  <c r="Q27" i="10"/>
  <c r="X11" i="6"/>
  <c r="N34" i="13"/>
  <c r="M38" i="11"/>
  <c r="P8" i="13"/>
  <c r="P36" i="13"/>
  <c r="S19" i="5"/>
  <c r="S10" i="5"/>
  <c r="Q34" i="16"/>
  <c r="X54" i="6"/>
  <c r="X55" i="6"/>
  <c r="S20" i="10"/>
  <c r="Z45" i="6"/>
  <c r="X49" i="6"/>
  <c r="X43" i="6"/>
  <c r="Z51" i="6"/>
  <c r="Z47" i="6"/>
  <c r="X52" i="6"/>
  <c r="X46" i="6"/>
  <c r="Z53" i="6"/>
  <c r="X48" i="6"/>
  <c r="X44" i="6"/>
  <c r="X50" i="6"/>
  <c r="Z25" i="6"/>
  <c r="X15" i="6"/>
  <c r="X21" i="6"/>
  <c r="Q8" i="10"/>
  <c r="O18" i="9"/>
  <c r="Z30" i="6"/>
  <c r="X26" i="6"/>
  <c r="X17" i="6"/>
  <c r="Z10" i="6"/>
  <c r="Q17" i="14"/>
  <c r="T43" i="14"/>
  <c r="Q41" i="14"/>
  <c r="O16" i="14"/>
  <c r="Q16" i="14"/>
  <c r="O24" i="14"/>
  <c r="Q32" i="14"/>
  <c r="T32" i="14"/>
  <c r="O40" i="14"/>
  <c r="O36" i="14"/>
  <c r="Q20" i="14"/>
  <c r="Q44" i="14"/>
  <c r="O28" i="14"/>
  <c r="O26" i="14"/>
  <c r="O34" i="14"/>
  <c r="Q43" i="14"/>
  <c r="Q22" i="14"/>
  <c r="O11" i="14"/>
  <c r="T27" i="14"/>
  <c r="Q19" i="14"/>
  <c r="T35" i="14"/>
  <c r="O27" i="14"/>
  <c r="Q53" i="14"/>
  <c r="O46" i="14"/>
  <c r="T23" i="14"/>
  <c r="T31" i="14"/>
  <c r="T22" i="14"/>
  <c r="T46" i="14"/>
  <c r="O14" i="14"/>
  <c r="O57" i="9"/>
  <c r="Q33" i="10"/>
  <c r="Q34" i="10"/>
  <c r="Q24" i="10"/>
  <c r="Q10" i="10"/>
  <c r="Q18" i="10"/>
  <c r="Q9" i="10"/>
  <c r="Q16" i="10"/>
  <c r="Q40" i="10"/>
  <c r="S39" i="10"/>
  <c r="Q38" i="10"/>
  <c r="S35" i="10"/>
  <c r="Q25" i="10"/>
  <c r="Q17" i="10"/>
  <c r="Q23" i="10"/>
  <c r="Q14" i="10"/>
  <c r="O62" i="9"/>
  <c r="Q59" i="9"/>
  <c r="Q55" i="9"/>
  <c r="Q45" i="9"/>
  <c r="O21" i="9"/>
  <c r="O23" i="9"/>
  <c r="O47" i="9"/>
  <c r="O39" i="9"/>
  <c r="O31" i="9"/>
  <c r="O12" i="9"/>
  <c r="O46" i="9"/>
  <c r="O38" i="9"/>
  <c r="O30" i="9"/>
  <c r="O22" i="9"/>
  <c r="O15" i="9"/>
  <c r="O37" i="9"/>
  <c r="O44" i="9"/>
  <c r="O36" i="9"/>
  <c r="O28" i="9"/>
  <c r="O20" i="9"/>
  <c r="O14" i="9"/>
  <c r="O43" i="9"/>
  <c r="O35" i="9"/>
  <c r="O27" i="9"/>
  <c r="O19" i="9"/>
  <c r="O11" i="9"/>
  <c r="O42" i="9"/>
  <c r="O34" i="9"/>
  <c r="O26" i="9"/>
  <c r="O41" i="9"/>
  <c r="O33" i="9"/>
  <c r="O25" i="9"/>
  <c r="O17" i="9"/>
  <c r="O10" i="9"/>
  <c r="O40" i="9"/>
  <c r="O32" i="9"/>
  <c r="O24" i="9"/>
  <c r="O16" i="9"/>
  <c r="O8" i="9"/>
  <c r="Q15" i="14"/>
  <c r="T38" i="14"/>
  <c r="T47" i="14"/>
  <c r="T39" i="14"/>
  <c r="O47" i="14"/>
  <c r="O39" i="14"/>
  <c r="O31" i="14"/>
  <c r="O23" i="14"/>
  <c r="O35" i="16"/>
  <c r="Q33" i="16"/>
  <c r="O30" i="16"/>
  <c r="Q31" i="16"/>
  <c r="Q13" i="16"/>
  <c r="Q22" i="16"/>
  <c r="Q12" i="16"/>
  <c r="Q21" i="16"/>
  <c r="Q11" i="16"/>
  <c r="Q20" i="16"/>
  <c r="Q10" i="16"/>
  <c r="Q17" i="16"/>
  <c r="Q9" i="16"/>
  <c r="Q16" i="16"/>
  <c r="Q19" i="16"/>
  <c r="Q14" i="16"/>
  <c r="Q8" i="16"/>
  <c r="U12" i="5"/>
  <c r="M39" i="11"/>
  <c r="X33" i="6"/>
  <c r="N13" i="15"/>
  <c r="X9" i="6"/>
  <c r="P9" i="15"/>
  <c r="P17" i="15"/>
  <c r="Z19" i="6"/>
  <c r="N10" i="15"/>
  <c r="N14" i="15"/>
  <c r="N18" i="15"/>
  <c r="T41" i="14"/>
  <c r="N11" i="15"/>
  <c r="N19" i="15"/>
  <c r="N15" i="15"/>
  <c r="P8" i="15"/>
  <c r="P16" i="15"/>
  <c r="M19" i="11"/>
  <c r="N12" i="15"/>
  <c r="U8" i="5"/>
  <c r="M46" i="11"/>
  <c r="S18" i="5"/>
  <c r="S17" i="5"/>
  <c r="P11" i="13"/>
  <c r="P13" i="13"/>
  <c r="N30" i="13"/>
  <c r="N38" i="13"/>
  <c r="M18" i="11"/>
  <c r="M34" i="11"/>
  <c r="X27" i="6"/>
  <c r="T26" i="14"/>
  <c r="T33" i="14"/>
  <c r="T42" i="14"/>
  <c r="U16" i="5"/>
  <c r="M42" i="11"/>
  <c r="X18" i="6"/>
  <c r="T25" i="14"/>
  <c r="T34" i="14"/>
  <c r="M22" i="11"/>
  <c r="T20" i="14"/>
  <c r="T28" i="14"/>
  <c r="T36" i="14"/>
  <c r="T44" i="14"/>
  <c r="T24" i="14"/>
  <c r="T40" i="14"/>
  <c r="X12" i="6"/>
  <c r="Z22" i="6"/>
  <c r="X29" i="6"/>
  <c r="X35" i="6"/>
  <c r="X32" i="6"/>
  <c r="X8" i="6"/>
  <c r="X13" i="6"/>
  <c r="X24" i="6"/>
  <c r="X14" i="6"/>
  <c r="X20" i="6"/>
  <c r="X28" i="6"/>
  <c r="X36" i="6"/>
  <c r="X34" i="6"/>
  <c r="M48" i="11"/>
  <c r="M33" i="11"/>
  <c r="M41" i="11"/>
  <c r="M35" i="11"/>
  <c r="M43" i="11"/>
  <c r="M17" i="11"/>
  <c r="M12" i="11"/>
  <c r="M16" i="11"/>
  <c r="O10" i="11"/>
  <c r="M25" i="11"/>
  <c r="O15" i="11"/>
  <c r="M23" i="11"/>
  <c r="M14" i="11"/>
  <c r="M47" i="11"/>
  <c r="M13" i="11"/>
  <c r="M45" i="11"/>
  <c r="S35" i="5"/>
  <c r="S34" i="5"/>
  <c r="U20" i="5"/>
  <c r="S11" i="5"/>
  <c r="S22" i="5"/>
  <c r="U14" i="5"/>
  <c r="S30" i="5"/>
  <c r="N41" i="13"/>
  <c r="P33" i="13"/>
  <c r="P39" i="13"/>
  <c r="P31" i="13"/>
  <c r="N29" i="13"/>
  <c r="B29" i="13" s="1"/>
  <c r="Z31" i="6"/>
  <c r="Z23" i="6"/>
  <c r="Z16" i="6"/>
  <c r="M32" i="11"/>
  <c r="O44" i="11"/>
  <c r="O36" i="11"/>
  <c r="M40" i="11"/>
  <c r="M31" i="11"/>
  <c r="M8" i="11"/>
  <c r="M20" i="11"/>
  <c r="O21" i="11"/>
  <c r="O11" i="11"/>
  <c r="M9" i="11"/>
  <c r="M24" i="11"/>
  <c r="S28" i="5"/>
  <c r="S33" i="5"/>
  <c r="S32" i="5"/>
  <c r="S29" i="5"/>
  <c r="S15" i="5"/>
  <c r="S21" i="5"/>
  <c r="S13" i="5"/>
  <c r="P10" i="13"/>
  <c r="P9" i="13"/>
  <c r="T22" i="9"/>
  <c r="T40" i="9"/>
  <c r="T32" i="9"/>
  <c r="T24" i="9"/>
  <c r="T47" i="9"/>
  <c r="T39" i="9"/>
  <c r="T31" i="9"/>
  <c r="T23" i="9"/>
  <c r="T46" i="9"/>
  <c r="T38" i="9"/>
  <c r="T30" i="9"/>
  <c r="T45" i="9"/>
  <c r="T37" i="9"/>
  <c r="T29" i="9"/>
  <c r="T21" i="9"/>
  <c r="T44" i="9"/>
  <c r="T36" i="9"/>
  <c r="T28" i="9"/>
  <c r="T20" i="9"/>
  <c r="T43" i="9"/>
  <c r="T35" i="9"/>
  <c r="T27" i="9"/>
  <c r="T42" i="9"/>
  <c r="T34" i="9"/>
  <c r="T26" i="9"/>
  <c r="T41" i="9"/>
  <c r="T33" i="9"/>
  <c r="T25" i="9"/>
  <c r="B25" i="11"/>
  <c r="B24" i="11"/>
  <c r="B23" i="11"/>
  <c r="B22" i="11"/>
  <c r="B21" i="11"/>
  <c r="B20" i="11"/>
  <c r="B27" i="10"/>
  <c r="B26" i="10"/>
  <c r="B25" i="10"/>
  <c r="B24" i="10"/>
  <c r="B23" i="10"/>
  <c r="B22" i="10"/>
  <c r="B21" i="10"/>
  <c r="B20" i="10"/>
  <c r="B19" i="10"/>
  <c r="B18" i="10"/>
  <c r="B17" i="10"/>
  <c r="B16" i="10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27" i="15" l="1"/>
  <c r="B26" i="15"/>
  <c r="B34" i="15"/>
  <c r="B61" i="14"/>
  <c r="B55" i="14"/>
  <c r="B54" i="14"/>
  <c r="B12" i="9"/>
  <c r="B17" i="15"/>
  <c r="B53" i="9"/>
  <c r="B12" i="13"/>
  <c r="B33" i="11"/>
  <c r="B34" i="11"/>
  <c r="B35" i="11"/>
  <c r="B31" i="11"/>
  <c r="B38" i="11"/>
  <c r="B37" i="11"/>
  <c r="B32" i="11"/>
  <c r="B36" i="11"/>
  <c r="B16" i="11"/>
  <c r="B15" i="11"/>
  <c r="B13" i="11"/>
  <c r="B12" i="11"/>
  <c r="B25" i="15"/>
  <c r="B15" i="16"/>
  <c r="B14" i="16"/>
  <c r="B9" i="16"/>
  <c r="B17" i="16"/>
  <c r="B16" i="16"/>
  <c r="B11" i="16"/>
  <c r="B12" i="16"/>
  <c r="B13" i="16"/>
  <c r="B10" i="16"/>
  <c r="B44" i="6"/>
  <c r="B43" i="6"/>
  <c r="B52" i="6"/>
  <c r="B50" i="6"/>
  <c r="B48" i="6"/>
  <c r="B49" i="6"/>
  <c r="B51" i="6"/>
  <c r="B46" i="6"/>
  <c r="B45" i="6"/>
  <c r="B47" i="6"/>
  <c r="B10" i="6"/>
  <c r="B33" i="15"/>
  <c r="B13" i="15"/>
  <c r="B35" i="16"/>
  <c r="B33" i="16"/>
  <c r="B31" i="16"/>
  <c r="B18" i="15"/>
  <c r="B10" i="15"/>
  <c r="B12" i="15"/>
  <c r="B11" i="15"/>
  <c r="B8" i="16"/>
  <c r="B15" i="15"/>
  <c r="B19" i="15"/>
  <c r="B14" i="15"/>
  <c r="B9" i="15"/>
  <c r="B30" i="16"/>
  <c r="B34" i="16"/>
  <c r="B28" i="16"/>
  <c r="B29" i="16"/>
  <c r="B32" i="16"/>
  <c r="B8" i="15"/>
  <c r="B16" i="15"/>
  <c r="B53" i="14"/>
  <c r="B35" i="10"/>
  <c r="B36" i="10"/>
  <c r="B38" i="10"/>
  <c r="B37" i="10"/>
  <c r="B33" i="10"/>
  <c r="B40" i="10"/>
  <c r="B34" i="10"/>
  <c r="B30" i="5"/>
  <c r="B33" i="5"/>
  <c r="B28" i="5"/>
  <c r="B32" i="5"/>
  <c r="B31" i="5"/>
  <c r="B34" i="5"/>
  <c r="B35" i="5"/>
  <c r="B29" i="5"/>
  <c r="B39" i="10"/>
  <c r="B36" i="13"/>
  <c r="B32" i="13"/>
  <c r="B40" i="13"/>
  <c r="B33" i="13"/>
  <c r="B34" i="13"/>
  <c r="B38" i="13"/>
  <c r="B41" i="13"/>
  <c r="B35" i="13"/>
  <c r="B31" i="13"/>
  <c r="B30" i="13"/>
  <c r="B39" i="13"/>
  <c r="B37" i="13"/>
  <c r="B9" i="13"/>
  <c r="B11" i="13"/>
  <c r="B8" i="13"/>
  <c r="B13" i="13"/>
  <c r="B10" i="13"/>
  <c r="B16" i="9"/>
  <c r="B15" i="9"/>
  <c r="B18" i="9"/>
  <c r="B14" i="9"/>
  <c r="B19" i="9"/>
  <c r="B17" i="9"/>
  <c r="B13" i="9"/>
  <c r="B14" i="10"/>
  <c r="B13" i="10"/>
  <c r="B11" i="10"/>
  <c r="B15" i="10"/>
  <c r="B12" i="10"/>
  <c r="B11" i="9"/>
  <c r="B18" i="11"/>
  <c r="B17" i="11"/>
  <c r="B14" i="11"/>
  <c r="B19" i="11"/>
  <c r="B8" i="11"/>
  <c r="B9" i="10"/>
  <c r="B11" i="11"/>
  <c r="B10" i="11"/>
  <c r="B9" i="11"/>
  <c r="B8" i="10"/>
  <c r="B10" i="10"/>
  <c r="B10" i="9"/>
  <c r="B9" i="9"/>
  <c r="B8" i="9"/>
  <c r="B36" i="6" l="1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B17" i="6"/>
  <c r="B19" i="5"/>
  <c r="B18" i="5"/>
  <c r="B17" i="5"/>
  <c r="B15" i="5"/>
  <c r="B13" i="5"/>
  <c r="B16" i="5"/>
  <c r="B14" i="5"/>
  <c r="B10" i="5"/>
  <c r="B11" i="5"/>
  <c r="B12" i="6" l="1"/>
  <c r="B13" i="6"/>
  <c r="B16" i="6"/>
  <c r="B19" i="6"/>
  <c r="B14" i="6"/>
  <c r="B15" i="6"/>
  <c r="B9" i="6"/>
  <c r="B8" i="6"/>
  <c r="B12" i="5"/>
  <c r="B11" i="6"/>
  <c r="B9" i="5"/>
  <c r="B8" i="5"/>
  <c r="P8" i="14" l="1"/>
  <c r="O8" i="14" s="1"/>
  <c r="B12" i="14" l="1"/>
  <c r="B8" i="14"/>
  <c r="B15" i="14"/>
  <c r="B11" i="14"/>
  <c r="B17" i="14"/>
  <c r="B19" i="14"/>
  <c r="B10" i="14"/>
  <c r="B14" i="14"/>
  <c r="B9" i="14"/>
  <c r="B16" i="14"/>
  <c r="B13" i="14"/>
  <c r="B18" i="14"/>
  <c r="Q8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<sst xmlns="http://schemas.openxmlformats.org/spreadsheetml/2006/main" count="991" uniqueCount="182">
  <si>
    <t>Sprint (SP)</t>
  </si>
  <si>
    <t>AUSTRIA - ksj-Cup 2022</t>
  </si>
  <si>
    <t>Kinder</t>
  </si>
  <si>
    <t>[AUT]</t>
  </si>
  <si>
    <t>J-ÖSTM/ÖM</t>
  </si>
  <si>
    <t>24.04.</t>
  </si>
  <si>
    <t>17.06.
bis
18.06.</t>
  </si>
  <si>
    <t>01.07.
bis
02.07.</t>
  </si>
  <si>
    <t>16.07.
bis
17.07.</t>
  </si>
  <si>
    <t>Wildalpen [1]</t>
  </si>
  <si>
    <t>Wildalpen [2]</t>
  </si>
  <si>
    <t>Graz I [1]</t>
  </si>
  <si>
    <t>Graz I [2]</t>
  </si>
  <si>
    <t>Graz II [1]</t>
  </si>
  <si>
    <t>Graz II [2]</t>
  </si>
  <si>
    <t>St.Ruprecht [1]</t>
  </si>
  <si>
    <t>St.Ruprecht [2]</t>
  </si>
  <si>
    <t>Streicher</t>
  </si>
  <si>
    <t>K1 männlich</t>
  </si>
  <si>
    <t>Info</t>
  </si>
  <si>
    <t>RNK</t>
  </si>
  <si>
    <t>Name</t>
  </si>
  <si>
    <t>Fam. Name</t>
  </si>
  <si>
    <t>Club</t>
  </si>
  <si>
    <t>Nat.</t>
  </si>
  <si>
    <t>1</t>
  </si>
  <si>
    <t>2</t>
  </si>
  <si>
    <t>3</t>
  </si>
  <si>
    <t>4</t>
  </si>
  <si>
    <t>5</t>
  </si>
  <si>
    <t>6</t>
  </si>
  <si>
    <t>7</t>
  </si>
  <si>
    <t>8</t>
  </si>
  <si>
    <t>Result</t>
  </si>
  <si>
    <t>L</t>
  </si>
  <si>
    <t>Prüfung</t>
  </si>
  <si>
    <t>Erik</t>
  </si>
  <si>
    <t>Blesberger</t>
  </si>
  <si>
    <t>NFKC-Ybbs</t>
  </si>
  <si>
    <t>AUT</t>
  </si>
  <si>
    <t>K1 weiblich</t>
  </si>
  <si>
    <t>Ida</t>
  </si>
  <si>
    <t>Kremslehner</t>
  </si>
  <si>
    <t>UKK Wien</t>
  </si>
  <si>
    <t>Selma</t>
  </si>
  <si>
    <t>Kolar</t>
  </si>
  <si>
    <t>Marlis</t>
  </si>
  <si>
    <t>Regatta (DR)</t>
  </si>
  <si>
    <t>28.05.</t>
  </si>
  <si>
    <t>16.07.
bis
17.07.
J-ÖSTM/ÖM</t>
  </si>
  <si>
    <t>17.09.</t>
  </si>
  <si>
    <t>24.09.</t>
  </si>
  <si>
    <t>Wildalpen</t>
  </si>
  <si>
    <t>St.Pölten</t>
  </si>
  <si>
    <t>Graz I</t>
  </si>
  <si>
    <t>Graz II</t>
  </si>
  <si>
    <t>St.Ruprecht</t>
  </si>
  <si>
    <t>YBBS</t>
  </si>
  <si>
    <t>UKK</t>
  </si>
  <si>
    <t>Eric</t>
  </si>
  <si>
    <t>Karl</t>
  </si>
  <si>
    <t>Schrefl</t>
  </si>
  <si>
    <t>UKK-Wien</t>
  </si>
  <si>
    <t>formel ausgebssert!</t>
  </si>
  <si>
    <t>SLALOM (SL)</t>
  </si>
  <si>
    <t>Jugendtraining + Österr. Jugend-Meisterschaften</t>
  </si>
  <si>
    <t>St.Pölten [1]</t>
  </si>
  <si>
    <t>St.Pölten [2]</t>
  </si>
  <si>
    <t>Ybbs [1]</t>
  </si>
  <si>
    <t>Ybbs [2]</t>
  </si>
  <si>
    <t>UKK-Wien [1]</t>
  </si>
  <si>
    <t>UKK-Wien [2]</t>
  </si>
  <si>
    <t>U 14</t>
  </si>
  <si>
    <t>Letzte Rennen scnellere Zeit +1Punkt</t>
  </si>
  <si>
    <t>Jakob</t>
  </si>
  <si>
    <t>Seebacher</t>
  </si>
  <si>
    <t>KVK</t>
  </si>
  <si>
    <t>Lukas</t>
  </si>
  <si>
    <t>Profanter</t>
  </si>
  <si>
    <t>KC-Graz</t>
  </si>
  <si>
    <t>Max</t>
  </si>
  <si>
    <t>Steinbrenner</t>
  </si>
  <si>
    <t>UPC-Südalpen</t>
  </si>
  <si>
    <t>David</t>
  </si>
  <si>
    <t>Friedreich</t>
  </si>
  <si>
    <t>Lorenz</t>
  </si>
  <si>
    <t>Gutmann</t>
  </si>
  <si>
    <t>Jan</t>
  </si>
  <si>
    <t>Noah</t>
  </si>
  <si>
    <t>Ben</t>
  </si>
  <si>
    <t>Briedl</t>
  </si>
  <si>
    <t>Forelle Teefix Steyr</t>
  </si>
  <si>
    <t xml:space="preserve">Name </t>
  </si>
  <si>
    <t>Nachname</t>
  </si>
  <si>
    <t>Verein</t>
  </si>
  <si>
    <t>[SLO]</t>
  </si>
  <si>
    <t>07.05.</t>
  </si>
  <si>
    <t>02.10.</t>
  </si>
  <si>
    <t>Celje [1]</t>
  </si>
  <si>
    <t>Celje [2]</t>
  </si>
  <si>
    <t>Klagenfurt [1]</t>
  </si>
  <si>
    <t>Klagenfurt [2]</t>
  </si>
  <si>
    <t>9</t>
  </si>
  <si>
    <t>10</t>
  </si>
  <si>
    <t>11</t>
  </si>
  <si>
    <t>12</t>
  </si>
  <si>
    <t>Koler</t>
  </si>
  <si>
    <t>Steyr</t>
  </si>
  <si>
    <t>Antonia</t>
  </si>
  <si>
    <t>Wenzel</t>
  </si>
  <si>
    <t>OKC-Lienz</t>
  </si>
  <si>
    <t>U18</t>
  </si>
  <si>
    <t>06.05.
bis
08.05.</t>
  </si>
  <si>
    <t>17.06.
und
18.06.</t>
  </si>
  <si>
    <t>16.07.
und
17.07.</t>
  </si>
  <si>
    <t>Trnovo [1]</t>
  </si>
  <si>
    <t>Trnovo [2]</t>
  </si>
  <si>
    <t>Jonas</t>
  </si>
  <si>
    <t>Schmidt</t>
  </si>
  <si>
    <t>Tim</t>
  </si>
  <si>
    <t>Schedlbauer</t>
  </si>
  <si>
    <t>Sinon</t>
  </si>
  <si>
    <t>Zeitlhofer</t>
  </si>
  <si>
    <t>Rohrmeister</t>
  </si>
  <si>
    <t>Emil</t>
  </si>
  <si>
    <t>Geesterma</t>
  </si>
  <si>
    <t>Ralph</t>
  </si>
  <si>
    <t>Marcel</t>
  </si>
  <si>
    <t>Ofner</t>
  </si>
  <si>
    <t>Letzte Rennen Jocker +1 Punkt</t>
  </si>
  <si>
    <t>Lili</t>
  </si>
  <si>
    <t>Katharina</t>
  </si>
  <si>
    <t>Winkler</t>
  </si>
  <si>
    <t>Trnovo</t>
  </si>
  <si>
    <t>Simon</t>
  </si>
  <si>
    <t>Schädlbauer</t>
  </si>
  <si>
    <t>Letzte Rennen +1Punkt</t>
  </si>
  <si>
    <t>Geerstema</t>
  </si>
  <si>
    <t>Moritz</t>
  </si>
  <si>
    <t>Brlesberger</t>
  </si>
  <si>
    <t xml:space="preserve">AUSTRIA - ksj-Cup 2022 </t>
  </si>
  <si>
    <t>[CZE]</t>
  </si>
  <si>
    <t>Tacen
Jugend-Quali 1</t>
  </si>
  <si>
    <t>ÖSTM /Quali
1. und 2. Lauf
ÖSTM / Quali 
3. und 4. Lauf</t>
  </si>
  <si>
    <t>Finale 5. Lauf</t>
  </si>
  <si>
    <t>Österr. Jugend-Meisterschaften</t>
  </si>
  <si>
    <t>ECA-Junior CUP</t>
  </si>
  <si>
    <t>ÖSTM 3.Lauf</t>
  </si>
  <si>
    <t>23.04.
-
24.04.</t>
  </si>
  <si>
    <t>30.04.
-
01.05.</t>
  </si>
  <si>
    <t>16.07.
-
17.07.</t>
  </si>
  <si>
    <t>23.07.</t>
  </si>
  <si>
    <t>24.07.</t>
  </si>
  <si>
    <t>Tacen Arena [1]</t>
  </si>
  <si>
    <t>Tacen Arena [2]</t>
  </si>
  <si>
    <t>Wien Sportarena [1]</t>
  </si>
  <si>
    <t>Wien Sportarena [2]</t>
  </si>
  <si>
    <t>Wien Sportarena [3]</t>
  </si>
  <si>
    <t>Wien Sportarena [4]</t>
  </si>
  <si>
    <t>Wien Sportarena [5]</t>
  </si>
  <si>
    <t>Roudnice [1]</t>
  </si>
  <si>
    <t>Roudnice [2]</t>
  </si>
  <si>
    <t>Roudnice [3]</t>
  </si>
  <si>
    <t>Roudnice [4]</t>
  </si>
  <si>
    <t>13</t>
  </si>
  <si>
    <t>14</t>
  </si>
  <si>
    <t>15</t>
  </si>
  <si>
    <t>16</t>
  </si>
  <si>
    <t>17</t>
  </si>
  <si>
    <t>Paul</t>
  </si>
  <si>
    <t>Preisl</t>
  </si>
  <si>
    <t>NF-Höflein</t>
  </si>
  <si>
    <t>Wilhelmer</t>
  </si>
  <si>
    <t>KCG-Kolbnitz</t>
  </si>
  <si>
    <t>Hermann</t>
  </si>
  <si>
    <t>Emilian</t>
  </si>
  <si>
    <t>Gade</t>
  </si>
  <si>
    <t>Rafting Sport Salza</t>
  </si>
  <si>
    <t>Aaron</t>
  </si>
  <si>
    <t>Kofler</t>
  </si>
  <si>
    <t>Alexander</t>
  </si>
  <si>
    <t>Gönitzer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</si>
</sst>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TOP&quot;\ #"/>
    <numFmt numFmtId="165" formatCode="mm:ss.00"/>
    <numFmt numFmtId="166" formatCode="0.0000E+00"/>
  </numFmts>
  <fonts count="25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36"/>
      <color theme="1"/>
      <name val="Bradley Hand ITC"/>
      <family val="4"/>
    </font>
    <font>
      <b/>
      <sz val="45"/>
      <color theme="1"/>
      <name val="Bradley Hand ITC"/>
      <family val="4"/>
    </font>
    <font>
      <sz val="10"/>
      <color theme="1"/>
      <name val="Calibri"/>
      <family val="2"/>
      <scheme val="minor"/>
    </font>
    <font>
      <b/>
      <i/>
      <sz val="18"/>
      <color theme="1"/>
      <name val="Bradley Hand ITC"/>
      <family val="4"/>
    </font>
    <font>
      <b/>
      <sz val="9"/>
      <color rgb="FF7030A0"/>
      <name val="Arial"/>
      <family val="2"/>
    </font>
    <font>
      <b/>
      <i/>
      <sz val="36"/>
      <color theme="1"/>
      <name val="Bradley Hand ITC"/>
      <family val="4"/>
    </font>
    <font>
      <sz val="8"/>
      <color rgb="FFFF0000"/>
      <name val="Calibri"/>
      <family val="2"/>
      <scheme val="minor"/>
    </font>
    <font>
      <b/>
      <u/>
      <sz val="32"/>
      <color theme="1"/>
      <name val="Bradley Hand ITC"/>
      <family val="4"/>
    </font>
    <font>
      <b/>
      <u/>
      <sz val="45"/>
      <color theme="1"/>
      <name val="Bradley Hand ITC"/>
      <family val="4"/>
    </font>
    <font>
      <sz val="8"/>
      <name val="Calibri"/>
      <family val="2"/>
      <scheme val="minor"/>
    </font>
    <font>
      <b/>
      <u/>
      <sz val="28"/>
      <color theme="1"/>
      <name val="Bradley Hand ITC"/>
      <family val="4"/>
    </font>
    <font>
      <b/>
      <u/>
      <sz val="36"/>
      <color theme="1"/>
      <name val="Bradley Hand ITC"/>
      <family val="4"/>
    </font>
    <font>
      <strike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sz val="26"/>
      <color theme="1"/>
      <name val="Bradley Hand ITC"/>
      <family val="4"/>
    </font>
    <font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0000"/>
      <name val="Calibri"/>
      <family val="2"/>
    </font>
    <font>
      <b/>
      <sz val="9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14999847407452621"/>
        <bgColor theme="0" tint="-0.14999847407452621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0" fontId="0" fillId="0" borderId="0" xfId="0" applyAlignment="1">
      <alignment horizontal="left"/>
    </xf>
    <xf numFmtId="0" fontId="4" fillId="6" borderId="1" xfId="0" applyFont="1" applyFill="1" applyBorder="1" applyAlignment="1">
      <alignment horizontal="center" vertical="center" textRotation="90" wrapText="1"/>
    </xf>
    <xf numFmtId="0" fontId="4" fillId="6" borderId="9" xfId="0" applyFont="1" applyFill="1" applyBorder="1" applyAlignment="1">
      <alignment horizontal="center" vertical="center" textRotation="90" wrapText="1"/>
    </xf>
    <xf numFmtId="0" fontId="4" fillId="5" borderId="9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0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1" fontId="6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center"/>
    </xf>
    <xf numFmtId="0" fontId="4" fillId="3" borderId="10" xfId="0" applyFont="1" applyFill="1" applyBorder="1" applyAlignment="1">
      <alignment horizontal="center" vertical="center" textRotation="90" wrapText="1"/>
    </xf>
    <xf numFmtId="0" fontId="9" fillId="0" borderId="0" xfId="0" applyFont="1"/>
    <xf numFmtId="0" fontId="4" fillId="3" borderId="0" xfId="0" applyFont="1" applyFill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4" fillId="4" borderId="13" xfId="0" applyFont="1" applyFill="1" applyBorder="1" applyAlignment="1">
      <alignment horizontal="center" vertical="center" textRotation="90"/>
    </xf>
    <xf numFmtId="0" fontId="4" fillId="9" borderId="13" xfId="0" applyFont="1" applyFill="1" applyBorder="1" applyAlignment="1">
      <alignment horizontal="center" vertical="center" textRotation="90"/>
    </xf>
    <xf numFmtId="0" fontId="4" fillId="4" borderId="15" xfId="0" applyFont="1" applyFill="1" applyBorder="1" applyAlignment="1">
      <alignment horizontal="center" vertical="center" textRotation="90"/>
    </xf>
    <xf numFmtId="0" fontId="4" fillId="9" borderId="15" xfId="0" applyFont="1" applyFill="1" applyBorder="1" applyAlignment="1">
      <alignment horizontal="center" vertical="center" textRotation="90"/>
    </xf>
    <xf numFmtId="0" fontId="4" fillId="5" borderId="15" xfId="0" applyFont="1" applyFill="1" applyBorder="1" applyAlignment="1">
      <alignment horizontal="center" vertical="center" textRotation="90"/>
    </xf>
    <xf numFmtId="0" fontId="4" fillId="8" borderId="13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/>
    </xf>
    <xf numFmtId="1" fontId="1" fillId="0" borderId="1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2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2" borderId="7" xfId="0" applyFont="1" applyFill="1" applyBorder="1" applyAlignment="1">
      <alignment vertical="center" textRotation="90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17" fillId="0" borderId="18" xfId="0" applyFont="1" applyBorder="1" applyAlignment="1">
      <alignment vertical="center" wrapText="1"/>
    </xf>
    <xf numFmtId="0" fontId="17" fillId="9" borderId="14" xfId="0" applyFont="1" applyFill="1" applyBorder="1" applyAlignment="1">
      <alignment vertical="center" wrapText="1"/>
    </xf>
    <xf numFmtId="0" fontId="17" fillId="4" borderId="14" xfId="0" applyFont="1" applyFill="1" applyBorder="1" applyAlignment="1">
      <alignment vertical="center" wrapText="1"/>
    </xf>
    <xf numFmtId="0" fontId="17" fillId="5" borderId="1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textRotation="90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4" fontId="4" fillId="5" borderId="6" xfId="0" applyNumberFormat="1" applyFont="1" applyFill="1" applyBorder="1" applyAlignment="1">
      <alignment vertical="center" textRotation="90" wrapText="1"/>
    </xf>
    <xf numFmtId="14" fontId="4" fillId="5" borderId="7" xfId="0" applyNumberFormat="1" applyFont="1" applyFill="1" applyBorder="1" applyAlignment="1">
      <alignment vertical="center" textRotation="90" wrapText="1"/>
    </xf>
    <xf numFmtId="0" fontId="4" fillId="5" borderId="7" xfId="0" applyFont="1" applyFill="1" applyBorder="1" applyAlignment="1">
      <alignment vertical="center" textRotation="90"/>
    </xf>
    <xf numFmtId="14" fontId="4" fillId="5" borderId="6" xfId="0" applyNumberFormat="1" applyFont="1" applyFill="1" applyBorder="1" applyAlignment="1">
      <alignment vertical="center" textRotation="90"/>
    </xf>
    <xf numFmtId="0" fontId="4" fillId="5" borderId="6" xfId="0" applyFont="1" applyFill="1" applyBorder="1" applyAlignment="1">
      <alignment vertical="center" textRotation="90"/>
    </xf>
    <xf numFmtId="0" fontId="18" fillId="4" borderId="13" xfId="0" applyFont="1" applyFill="1" applyBorder="1" applyAlignment="1">
      <alignment horizontal="center" vertical="center" textRotation="90"/>
    </xf>
    <xf numFmtId="0" fontId="10" fillId="0" borderId="0" xfId="0" applyFont="1"/>
    <xf numFmtId="0" fontId="4" fillId="9" borderId="13" xfId="0" applyFont="1" applyFill="1" applyBorder="1" applyAlignment="1">
      <alignment horizontal="center" vertical="center" textRotation="90" wrapText="1"/>
    </xf>
    <xf numFmtId="0" fontId="4" fillId="4" borderId="13" xfId="0" applyFont="1" applyFill="1" applyBorder="1" applyAlignment="1">
      <alignment horizontal="center" vertical="center" textRotation="90" wrapText="1"/>
    </xf>
    <xf numFmtId="0" fontId="4" fillId="5" borderId="13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 textRotation="90" wrapText="1"/>
    </xf>
    <xf numFmtId="0" fontId="4" fillId="9" borderId="10" xfId="0" applyFont="1" applyFill="1" applyBorder="1" applyAlignment="1">
      <alignment horizontal="center" vertical="center" textRotation="90" wrapText="1"/>
    </xf>
    <xf numFmtId="0" fontId="4" fillId="9" borderId="9" xfId="0" applyFont="1" applyFill="1" applyBorder="1" applyAlignment="1">
      <alignment horizontal="center" vertical="center" textRotation="90" wrapText="1"/>
    </xf>
    <xf numFmtId="0" fontId="4" fillId="4" borderId="10" xfId="0" applyFont="1" applyFill="1" applyBorder="1" applyAlignment="1">
      <alignment horizontal="center" vertical="center" textRotation="90" wrapText="1"/>
    </xf>
    <xf numFmtId="0" fontId="4" fillId="4" borderId="9" xfId="0" applyFont="1" applyFill="1" applyBorder="1" applyAlignment="1">
      <alignment horizontal="center" vertical="center" textRotation="90" wrapText="1"/>
    </xf>
    <xf numFmtId="0" fontId="4" fillId="4" borderId="6" xfId="0" applyFont="1" applyFill="1" applyBorder="1" applyAlignment="1">
      <alignment vertical="center" textRotation="90" wrapText="1"/>
    </xf>
    <xf numFmtId="0" fontId="4" fillId="4" borderId="7" xfId="0" applyFont="1" applyFill="1" applyBorder="1" applyAlignment="1">
      <alignment vertical="center" textRotation="90" wrapText="1"/>
    </xf>
    <xf numFmtId="0" fontId="4" fillId="8" borderId="6" xfId="0" applyFont="1" applyFill="1" applyBorder="1" applyAlignment="1">
      <alignment vertical="center" textRotation="90" wrapText="1"/>
    </xf>
    <xf numFmtId="0" fontId="4" fillId="9" borderId="10" xfId="0" applyFont="1" applyFill="1" applyBorder="1" applyAlignment="1">
      <alignment vertical="center" textRotation="90" wrapText="1"/>
    </xf>
    <xf numFmtId="0" fontId="4" fillId="4" borderId="10" xfId="0" applyFont="1" applyFill="1" applyBorder="1" applyAlignment="1">
      <alignment vertical="center" textRotation="90" wrapText="1"/>
    </xf>
    <xf numFmtId="0" fontId="4" fillId="9" borderId="6" xfId="0" applyFont="1" applyFill="1" applyBorder="1" applyAlignment="1">
      <alignment vertical="center" textRotation="90"/>
    </xf>
    <xf numFmtId="0" fontId="4" fillId="4" borderId="6" xfId="0" applyFont="1" applyFill="1" applyBorder="1" applyAlignment="1">
      <alignment vertical="center" textRotation="90"/>
    </xf>
    <xf numFmtId="0" fontId="4" fillId="9" borderId="6" xfId="0" applyFont="1" applyFill="1" applyBorder="1" applyAlignment="1">
      <alignment vertical="center" textRotation="90" wrapText="1"/>
    </xf>
    <xf numFmtId="0" fontId="4" fillId="9" borderId="7" xfId="0" applyFont="1" applyFill="1" applyBorder="1" applyAlignment="1">
      <alignment vertical="center" textRotation="90" wrapText="1"/>
    </xf>
    <xf numFmtId="49" fontId="4" fillId="7" borderId="0" xfId="0" applyNumberFormat="1" applyFont="1" applyFill="1" applyAlignment="1">
      <alignment horizontal="center" vertical="center" textRotation="90" wrapText="1"/>
    </xf>
    <xf numFmtId="0" fontId="4" fillId="6" borderId="10" xfId="0" applyFont="1" applyFill="1" applyBorder="1" applyAlignment="1">
      <alignment horizontal="center" vertical="center" textRotation="90" wrapText="1"/>
    </xf>
    <xf numFmtId="0" fontId="4" fillId="5" borderId="6" xfId="0" applyFont="1" applyFill="1" applyBorder="1" applyAlignment="1">
      <alignment vertical="center" textRotation="90" wrapText="1"/>
    </xf>
    <xf numFmtId="0" fontId="4" fillId="5" borderId="7" xfId="0" applyFont="1" applyFill="1" applyBorder="1" applyAlignment="1">
      <alignment vertical="center" textRotation="90" wrapText="1"/>
    </xf>
    <xf numFmtId="0" fontId="20" fillId="11" borderId="2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 vertical="center" textRotation="90"/>
    </xf>
    <xf numFmtId="0" fontId="9" fillId="0" borderId="5" xfId="0" applyFont="1" applyBorder="1"/>
    <xf numFmtId="1" fontId="6" fillId="0" borderId="5" xfId="0" applyNumberFormat="1" applyFont="1" applyBorder="1" applyAlignment="1">
      <alignment horizontal="center" vertical="center"/>
    </xf>
    <xf numFmtId="1" fontId="21" fillId="0" borderId="0" xfId="0" applyNumberFormat="1" applyFont="1"/>
    <xf numFmtId="0" fontId="1" fillId="0" borderId="0" xfId="0" applyFont="1" applyAlignment="1">
      <alignment horizontal="left" vertical="center" textRotation="90"/>
    </xf>
    <xf numFmtId="0" fontId="9" fillId="0" borderId="0" xfId="0" applyFont="1" applyAlignment="1">
      <alignment horizontal="left" vertical="center"/>
    </xf>
    <xf numFmtId="1" fontId="2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7" fillId="0" borderId="25" xfId="0" applyFont="1" applyBorder="1" applyAlignment="1">
      <alignment vertical="center" wrapText="1"/>
    </xf>
    <xf numFmtId="0" fontId="10" fillId="0" borderId="5" xfId="0" applyFont="1" applyBorder="1"/>
    <xf numFmtId="0" fontId="1" fillId="0" borderId="0" xfId="0" applyFont="1" applyAlignment="1">
      <alignment horizontal="center" textRotation="90"/>
    </xf>
    <xf numFmtId="1" fontId="11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1" fontId="22" fillId="0" borderId="5" xfId="0" applyNumberFormat="1" applyFont="1" applyBorder="1" applyAlignment="1">
      <alignment horizontal="center" vertical="center"/>
    </xf>
    <xf numFmtId="1" fontId="22" fillId="12" borderId="5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" fontId="1" fillId="0" borderId="3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vertical="center" wrapText="1"/>
    </xf>
    <xf numFmtId="0" fontId="23" fillId="4" borderId="13" xfId="0" applyFont="1" applyFill="1" applyBorder="1" applyAlignment="1">
      <alignment horizontal="center" vertical="center" textRotation="90"/>
    </xf>
    <xf numFmtId="0" fontId="12" fillId="0" borderId="5" xfId="0" applyFont="1" applyBorder="1"/>
    <xf numFmtId="0" fontId="12" fillId="0" borderId="0" xfId="0" applyFont="1"/>
    <xf numFmtId="0" fontId="4" fillId="4" borderId="6" xfId="0" applyFont="1" applyFill="1" applyBorder="1" applyAlignment="1">
      <alignment horizontal="center" vertical="center" textRotation="90" wrapText="1"/>
    </xf>
    <xf numFmtId="0" fontId="4" fillId="4" borderId="7" xfId="0" applyFont="1" applyFill="1" applyBorder="1" applyAlignment="1">
      <alignment horizontal="center" vertical="center" textRotation="90"/>
    </xf>
    <xf numFmtId="0" fontId="4" fillId="5" borderId="6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4" borderId="11" xfId="0" applyFont="1" applyFill="1" applyBorder="1" applyAlignment="1">
      <alignment horizontal="center" vertical="center" textRotation="90"/>
    </xf>
    <xf numFmtId="0" fontId="4" fillId="8" borderId="6" xfId="0" applyFont="1" applyFill="1" applyBorder="1" applyAlignment="1">
      <alignment horizontal="center" vertical="center" textRotation="90" wrapText="1"/>
    </xf>
    <xf numFmtId="0" fontId="4" fillId="9" borderId="11" xfId="0" applyFont="1" applyFill="1" applyBorder="1" applyAlignment="1">
      <alignment horizontal="center" vertical="center" textRotation="90"/>
    </xf>
    <xf numFmtId="0" fontId="4" fillId="5" borderId="11" xfId="0" applyFont="1" applyFill="1" applyBorder="1" applyAlignment="1">
      <alignment horizontal="center" vertical="center" textRotation="90"/>
    </xf>
    <xf numFmtId="0" fontId="4" fillId="5" borderId="8" xfId="0" applyFont="1" applyFill="1" applyBorder="1" applyAlignment="1">
      <alignment horizontal="center" vertical="center" textRotation="90"/>
    </xf>
    <xf numFmtId="0" fontId="1" fillId="5" borderId="6" xfId="0" applyFont="1" applyFill="1" applyBorder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 wrapText="1"/>
    </xf>
    <xf numFmtId="0" fontId="4" fillId="4" borderId="7" xfId="0" applyFont="1" applyFill="1" applyBorder="1" applyAlignment="1">
      <alignment horizontal="center" vertical="center" textRotation="90" wrapText="1"/>
    </xf>
    <xf numFmtId="49" fontId="4" fillId="8" borderId="6" xfId="0" applyNumberFormat="1" applyFont="1" applyFill="1" applyBorder="1" applyAlignment="1">
      <alignment horizontal="center" vertical="center" textRotation="90" wrapText="1"/>
    </xf>
    <xf numFmtId="49" fontId="4" fillId="8" borderId="7" xfId="0" applyNumberFormat="1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 textRotation="90"/>
    </xf>
    <xf numFmtId="0" fontId="1" fillId="5" borderId="0" xfId="0" applyFont="1" applyFill="1" applyAlignment="1">
      <alignment horizontal="center" vertical="center" textRotation="90"/>
    </xf>
    <xf numFmtId="0" fontId="1" fillId="3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4" fillId="5" borderId="3" xfId="0" applyFont="1" applyFill="1" applyBorder="1" applyAlignment="1">
      <alignment horizontal="center" vertical="center" textRotation="90"/>
    </xf>
    <xf numFmtId="0" fontId="4" fillId="9" borderId="6" xfId="0" applyFont="1" applyFill="1" applyBorder="1" applyAlignment="1">
      <alignment horizontal="center" vertical="center" textRotation="90" wrapText="1"/>
    </xf>
    <xf numFmtId="0" fontId="4" fillId="9" borderId="7" xfId="0" applyFont="1" applyFill="1" applyBorder="1" applyAlignment="1">
      <alignment horizontal="center" vertical="center" textRotation="90" wrapText="1"/>
    </xf>
    <xf numFmtId="49" fontId="4" fillId="6" borderId="6" xfId="0" applyNumberFormat="1" applyFont="1" applyFill="1" applyBorder="1" applyAlignment="1">
      <alignment horizontal="center" vertical="center" textRotation="90" wrapText="1"/>
    </xf>
    <xf numFmtId="49" fontId="4" fillId="6" borderId="0" xfId="0" applyNumberFormat="1" applyFont="1" applyFill="1" applyAlignment="1">
      <alignment horizontal="center" vertical="center" textRotation="90" wrapText="1"/>
    </xf>
    <xf numFmtId="14" fontId="4" fillId="6" borderId="0" xfId="0" applyNumberFormat="1" applyFont="1" applyFill="1" applyAlignment="1">
      <alignment horizontal="center" vertical="center" textRotation="90" wrapText="1"/>
    </xf>
    <xf numFmtId="14" fontId="4" fillId="6" borderId="7" xfId="0" applyNumberFormat="1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 textRotation="90" wrapText="1"/>
    </xf>
    <xf numFmtId="49" fontId="4" fillId="3" borderId="6" xfId="0" applyNumberFormat="1" applyFont="1" applyFill="1" applyBorder="1" applyAlignment="1">
      <alignment horizontal="center" vertical="center" textRotation="90" wrapText="1"/>
    </xf>
    <xf numFmtId="49" fontId="4" fillId="3" borderId="7" xfId="0" applyNumberFormat="1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left"/>
    </xf>
    <xf numFmtId="1" fontId="0" fillId="0" borderId="17" xfId="0" applyNumberFormat="1" applyBorder="1" applyAlignment="1">
      <alignment horizontal="center" vertical="center"/>
    </xf>
    <xf numFmtId="0" fontId="16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11" borderId="26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left"/>
    </xf>
    <xf numFmtId="0" fontId="1" fillId="12" borderId="0" xfId="0" applyFont="1" applyFill="1" applyAlignment="1">
      <alignment horizontal="center"/>
    </xf>
    <xf numFmtId="0" fontId="1" fillId="12" borderId="0" xfId="0" applyFont="1" applyFill="1"/>
    <xf numFmtId="0" fontId="1" fillId="12" borderId="0" xfId="0" applyFont="1" applyFill="1" applyAlignment="1">
      <alignment horizontal="left"/>
    </xf>
    <xf numFmtId="1" fontId="1" fillId="12" borderId="0" xfId="0" applyNumberFormat="1" applyFont="1" applyFill="1" applyAlignment="1">
      <alignment horizontal="center"/>
    </xf>
    <xf numFmtId="1" fontId="1" fillId="12" borderId="1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textRotation="90"/>
    </xf>
    <xf numFmtId="0" fontId="1" fillId="0" borderId="0" xfId="0" applyFont="1" applyAlignment="1">
      <alignment vertical="center"/>
    </xf>
    <xf numFmtId="0" fontId="20" fillId="11" borderId="0" xfId="0" applyFont="1" applyFill="1" applyAlignment="1">
      <alignment vertical="center"/>
    </xf>
    <xf numFmtId="0" fontId="17" fillId="0" borderId="18" xfId="0" applyFont="1" applyBorder="1" applyAlignment="1">
      <alignment horizontal="center" vertical="center" wrapText="1"/>
    </xf>
    <xf numFmtId="49" fontId="15" fillId="8" borderId="7" xfId="0" applyNumberFormat="1" applyFont="1" applyFill="1" applyBorder="1" applyAlignment="1">
      <alignment horizontal="center" vertical="center" textRotation="90" wrapText="1"/>
    </xf>
    <xf numFmtId="49" fontId="4" fillId="6" borderId="13" xfId="0" applyNumberFormat="1" applyFont="1" applyFill="1" applyBorder="1" applyAlignment="1">
      <alignment horizontal="center" vertical="center" textRotation="90" wrapText="1"/>
    </xf>
    <xf numFmtId="0" fontId="4" fillId="6" borderId="14" xfId="0" applyFont="1" applyFill="1" applyBorder="1" applyAlignment="1">
      <alignment horizontal="center" vertical="center" textRotation="90" wrapText="1"/>
    </xf>
    <xf numFmtId="2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left"/>
    </xf>
    <xf numFmtId="2" fontId="1" fillId="0" borderId="0" xfId="0" applyNumberFormat="1" applyFont="1"/>
    <xf numFmtId="166" fontId="1" fillId="0" borderId="0" xfId="0" applyNumberFormat="1" applyFont="1"/>
    <xf numFmtId="47" fontId="1" fillId="0" borderId="0" xfId="0" applyNumberFormat="1" applyFont="1"/>
    <xf numFmtId="47" fontId="1" fillId="0" borderId="0" xfId="0" applyNumberFormat="1" applyFont="1" applyAlignment="1">
      <alignment horizontal="right" vertical="center"/>
    </xf>
    <xf numFmtId="1" fontId="24" fillId="0" borderId="12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textRotation="90" wrapText="1"/>
    </xf>
    <xf numFmtId="1" fontId="11" fillId="0" borderId="5" xfId="0" applyNumberFormat="1" applyFont="1" applyBorder="1" applyAlignment="1">
      <alignment horizontal="center"/>
    </xf>
    <xf numFmtId="0" fontId="19" fillId="0" borderId="0" xfId="0" applyFont="1"/>
    <xf numFmtId="0" fontId="1" fillId="0" borderId="0" xfId="0" applyFont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textRotation="90"/>
    </xf>
    <xf numFmtId="0" fontId="12" fillId="0" borderId="20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textRotation="45"/>
    </xf>
    <xf numFmtId="164" fontId="7" fillId="0" borderId="8" xfId="0" applyNumberFormat="1" applyFont="1" applyBorder="1" applyAlignment="1">
      <alignment horizontal="center" vertical="center" textRotation="45"/>
    </xf>
    <xf numFmtId="164" fontId="7" fillId="0" borderId="0" xfId="0" applyNumberFormat="1" applyFont="1" applyAlignment="1">
      <alignment horizontal="center" vertical="center" textRotation="45"/>
    </xf>
    <xf numFmtId="164" fontId="7" fillId="0" borderId="7" xfId="0" applyNumberFormat="1" applyFont="1" applyBorder="1" applyAlignment="1">
      <alignment horizontal="center" vertical="center" textRotation="45"/>
    </xf>
    <xf numFmtId="0" fontId="4" fillId="9" borderId="11" xfId="0" applyFont="1" applyFill="1" applyBorder="1" applyAlignment="1">
      <alignment horizontal="center" vertical="center" textRotation="90"/>
    </xf>
    <xf numFmtId="0" fontId="4" fillId="9" borderId="8" xfId="0" applyFont="1" applyFill="1" applyBorder="1" applyAlignment="1">
      <alignment horizontal="center" vertical="center" textRotation="90"/>
    </xf>
    <xf numFmtId="0" fontId="4" fillId="4" borderId="11" xfId="0" applyFont="1" applyFill="1" applyBorder="1" applyAlignment="1">
      <alignment horizontal="center" vertical="center" textRotation="90"/>
    </xf>
    <xf numFmtId="0" fontId="4" fillId="4" borderId="8" xfId="0" applyFont="1" applyFill="1" applyBorder="1" applyAlignment="1">
      <alignment horizontal="center" vertical="center" textRotation="90"/>
    </xf>
    <xf numFmtId="0" fontId="4" fillId="5" borderId="11" xfId="0" applyFont="1" applyFill="1" applyBorder="1" applyAlignment="1">
      <alignment horizontal="center" vertical="center" textRotation="90"/>
    </xf>
    <xf numFmtId="0" fontId="4" fillId="5" borderId="8" xfId="0" applyFont="1" applyFill="1" applyBorder="1" applyAlignment="1">
      <alignment horizontal="center" vertical="center" textRotation="90"/>
    </xf>
    <xf numFmtId="0" fontId="4" fillId="9" borderId="6" xfId="0" applyFont="1" applyFill="1" applyBorder="1" applyAlignment="1">
      <alignment horizontal="center" vertical="center" textRotation="90"/>
    </xf>
    <xf numFmtId="0" fontId="4" fillId="9" borderId="7" xfId="0" applyFont="1" applyFill="1" applyBorder="1" applyAlignment="1">
      <alignment horizontal="center" vertical="center" textRotation="90"/>
    </xf>
    <xf numFmtId="0" fontId="4" fillId="4" borderId="6" xfId="0" applyFont="1" applyFill="1" applyBorder="1" applyAlignment="1">
      <alignment horizontal="center" vertical="center" textRotation="90"/>
    </xf>
    <xf numFmtId="0" fontId="4" fillId="4" borderId="7" xfId="0" applyFont="1" applyFill="1" applyBorder="1" applyAlignment="1">
      <alignment horizontal="center" vertical="center" textRotation="90"/>
    </xf>
    <xf numFmtId="0" fontId="4" fillId="8" borderId="6" xfId="0" applyFont="1" applyFill="1" applyBorder="1" applyAlignment="1">
      <alignment horizontal="center" vertical="center" textRotation="90" wrapText="1"/>
    </xf>
    <xf numFmtId="0" fontId="4" fillId="8" borderId="7" xfId="0" applyFont="1" applyFill="1" applyBorder="1" applyAlignment="1">
      <alignment horizontal="center" vertical="center" textRotation="90" wrapText="1"/>
    </xf>
    <xf numFmtId="0" fontId="4" fillId="4" borderId="6" xfId="0" applyFont="1" applyFill="1" applyBorder="1" applyAlignment="1">
      <alignment horizontal="center" vertical="center" textRotation="90" wrapText="1"/>
    </xf>
    <xf numFmtId="0" fontId="4" fillId="4" borderId="7" xfId="0" applyFont="1" applyFill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textRotation="90"/>
    </xf>
    <xf numFmtId="0" fontId="1" fillId="5" borderId="7" xfId="0" applyFont="1" applyFill="1" applyBorder="1" applyAlignment="1">
      <alignment horizontal="center" vertical="center" textRotation="90"/>
    </xf>
    <xf numFmtId="0" fontId="1" fillId="4" borderId="6" xfId="0" applyFont="1" applyFill="1" applyBorder="1" applyAlignment="1">
      <alignment horizontal="center" vertical="center" textRotation="90"/>
    </xf>
    <xf numFmtId="0" fontId="1" fillId="4" borderId="7" xfId="0" applyFont="1" applyFill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 wrapText="1"/>
    </xf>
    <xf numFmtId="0" fontId="4" fillId="3" borderId="8" xfId="0" applyFont="1" applyFill="1" applyBorder="1" applyAlignment="1">
      <alignment horizontal="center" vertical="center" textRotation="90" wrapText="1"/>
    </xf>
    <xf numFmtId="0" fontId="23" fillId="5" borderId="6" xfId="0" applyFont="1" applyFill="1" applyBorder="1" applyAlignment="1">
      <alignment horizontal="center" vertical="center" textRotation="90"/>
    </xf>
    <xf numFmtId="0" fontId="23" fillId="5" borderId="7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4" fillId="5" borderId="6" xfId="0" applyFont="1" applyFill="1" applyBorder="1" applyAlignment="1">
      <alignment horizontal="center" vertical="center" textRotation="90"/>
    </xf>
    <xf numFmtId="0" fontId="4" fillId="5" borderId="7" xfId="0" applyFont="1" applyFill="1" applyBorder="1" applyAlignment="1">
      <alignment horizontal="center" vertical="center" textRotation="90"/>
    </xf>
    <xf numFmtId="49" fontId="4" fillId="8" borderId="6" xfId="0" applyNumberFormat="1" applyFont="1" applyFill="1" applyBorder="1" applyAlignment="1">
      <alignment horizontal="center" vertical="center" textRotation="90" wrapText="1"/>
    </xf>
    <xf numFmtId="49" fontId="4" fillId="8" borderId="7" xfId="0" applyNumberFormat="1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4" borderId="0" xfId="0" applyFont="1" applyFill="1" applyAlignment="1">
      <alignment horizontal="center" vertical="center" textRotation="90"/>
    </xf>
    <xf numFmtId="0" fontId="1" fillId="5" borderId="0" xfId="0" applyFont="1" applyFill="1" applyAlignment="1">
      <alignment horizontal="center" vertical="center" textRotation="90"/>
    </xf>
    <xf numFmtId="0" fontId="1" fillId="3" borderId="0" xfId="0" applyFont="1" applyFill="1" applyAlignment="1">
      <alignment horizontal="center" vertical="center" textRotation="90"/>
    </xf>
    <xf numFmtId="14" fontId="4" fillId="5" borderId="6" xfId="0" applyNumberFormat="1" applyFont="1" applyFill="1" applyBorder="1" applyAlignment="1">
      <alignment horizontal="center" vertical="center" textRotation="90" wrapText="1"/>
    </xf>
    <xf numFmtId="14" fontId="4" fillId="5" borderId="7" xfId="0" applyNumberFormat="1" applyFont="1" applyFill="1" applyBorder="1" applyAlignment="1">
      <alignment horizontal="center" vertical="center" textRotation="90" wrapText="1"/>
    </xf>
    <xf numFmtId="0" fontId="4" fillId="3" borderId="0" xfId="0" applyFont="1" applyFill="1" applyAlignment="1">
      <alignment horizontal="center" vertical="center" textRotation="90" wrapText="1"/>
    </xf>
    <xf numFmtId="0" fontId="4" fillId="5" borderId="3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textRotation="90"/>
    </xf>
    <xf numFmtId="0" fontId="4" fillId="3" borderId="8" xfId="0" applyFont="1" applyFill="1" applyBorder="1" applyAlignment="1">
      <alignment horizontal="center" vertical="center" textRotation="90"/>
    </xf>
    <xf numFmtId="0" fontId="4" fillId="9" borderId="6" xfId="0" applyFont="1" applyFill="1" applyBorder="1" applyAlignment="1">
      <alignment horizontal="center" vertical="center" textRotation="90" wrapText="1"/>
    </xf>
    <xf numFmtId="0" fontId="4" fillId="9" borderId="7" xfId="0" applyFont="1" applyFill="1" applyBorder="1" applyAlignment="1">
      <alignment horizontal="center" vertical="center" textRotation="90" wrapText="1"/>
    </xf>
    <xf numFmtId="0" fontId="4" fillId="6" borderId="3" xfId="0" applyFont="1" applyFill="1" applyBorder="1" applyAlignment="1">
      <alignment horizontal="center" vertical="center" textRotation="90"/>
    </xf>
    <xf numFmtId="0" fontId="4" fillId="6" borderId="8" xfId="0" applyFont="1" applyFill="1" applyBorder="1" applyAlignment="1">
      <alignment horizontal="center" vertical="center" textRotation="90"/>
    </xf>
    <xf numFmtId="14" fontId="4" fillId="8" borderId="0" xfId="0" applyNumberFormat="1" applyFont="1" applyFill="1" applyAlignment="1">
      <alignment horizontal="center" vertical="center" textRotation="90" wrapText="1"/>
    </xf>
    <xf numFmtId="14" fontId="4" fillId="8" borderId="7" xfId="0" applyNumberFormat="1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/>
    </xf>
    <xf numFmtId="49" fontId="4" fillId="7" borderId="6" xfId="0" applyNumberFormat="1" applyFont="1" applyFill="1" applyBorder="1" applyAlignment="1">
      <alignment horizontal="center" vertical="center" textRotation="90" wrapText="1"/>
    </xf>
    <xf numFmtId="49" fontId="4" fillId="7" borderId="7" xfId="0" applyNumberFormat="1" applyFont="1" applyFill="1" applyBorder="1" applyAlignment="1">
      <alignment horizontal="center" vertical="center" textRotation="90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textRotation="90" wrapText="1"/>
    </xf>
    <xf numFmtId="0" fontId="4" fillId="7" borderId="11" xfId="0" applyFont="1" applyFill="1" applyBorder="1" applyAlignment="1">
      <alignment horizontal="center" vertical="center" textRotation="90" wrapText="1"/>
    </xf>
    <xf numFmtId="0" fontId="4" fillId="7" borderId="3" xfId="0" applyFont="1" applyFill="1" applyBorder="1" applyAlignment="1">
      <alignment horizontal="center" vertical="center" textRotation="90" wrapText="1"/>
    </xf>
    <xf numFmtId="0" fontId="1" fillId="10" borderId="0" xfId="0" applyFont="1" applyFill="1" applyAlignment="1">
      <alignment horizontal="center" vertical="center" textRotation="90" wrapText="1"/>
    </xf>
    <xf numFmtId="49" fontId="4" fillId="6" borderId="6" xfId="0" applyNumberFormat="1" applyFont="1" applyFill="1" applyBorder="1" applyAlignment="1">
      <alignment horizontal="center" vertical="center" textRotation="90" wrapText="1"/>
    </xf>
    <xf numFmtId="49" fontId="4" fillId="6" borderId="0" xfId="0" applyNumberFormat="1" applyFont="1" applyFill="1" applyAlignment="1">
      <alignment horizontal="center" vertical="center" textRotation="90" wrapText="1"/>
    </xf>
    <xf numFmtId="49" fontId="4" fillId="6" borderId="7" xfId="0" applyNumberFormat="1" applyFont="1" applyFill="1" applyBorder="1" applyAlignment="1">
      <alignment horizontal="center" vertical="center" textRotation="90" wrapText="1"/>
    </xf>
    <xf numFmtId="0" fontId="4" fillId="6" borderId="11" xfId="0" applyFont="1" applyFill="1" applyBorder="1" applyAlignment="1">
      <alignment horizontal="center" vertical="center" textRotation="90"/>
    </xf>
    <xf numFmtId="0" fontId="13" fillId="0" borderId="20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49" fontId="15" fillId="8" borderId="6" xfId="0" applyNumberFormat="1" applyFont="1" applyFill="1" applyBorder="1" applyAlignment="1">
      <alignment horizontal="center" vertical="center" textRotation="90" wrapText="1"/>
    </xf>
    <xf numFmtId="49" fontId="15" fillId="8" borderId="0" xfId="0" applyNumberFormat="1" applyFont="1" applyFill="1" applyAlignment="1">
      <alignment horizontal="center" vertical="center" textRotation="90" wrapText="1"/>
    </xf>
    <xf numFmtId="14" fontId="4" fillId="6" borderId="0" xfId="0" applyNumberFormat="1" applyFont="1" applyFill="1" applyAlignment="1">
      <alignment horizontal="center" vertical="center" textRotation="90" wrapText="1"/>
    </xf>
    <xf numFmtId="14" fontId="4" fillId="6" borderId="7" xfId="0" applyNumberFormat="1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 textRotation="90" wrapText="1"/>
    </xf>
    <xf numFmtId="49" fontId="4" fillId="3" borderId="6" xfId="0" applyNumberFormat="1" applyFont="1" applyFill="1" applyBorder="1" applyAlignment="1">
      <alignment horizontal="center" vertical="center" textRotation="90" wrapText="1"/>
    </xf>
    <xf numFmtId="49" fontId="4" fillId="3" borderId="7" xfId="0" applyNumberFormat="1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</cellXfs>
  <cellStyles count="1">
    <cellStyle name="Standard" xfId="0" builtinId="0"/>
  </cellStyles>
  <dxfs count="418"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minor"/>
      </font>
      <numFmt numFmtId="1" formatCode="0"/>
      <alignment horizontal="center" vertical="center" wrapText="0" indent="0" justifyLastLine="0" shrinkToFit="0" readingOrder="0"/>
      <border diagonalUp="0" diagonalDown="0">
        <left style="medium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center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minor"/>
      </font>
      <numFmt numFmtId="1" formatCode="0"/>
      <alignment horizontal="center" vertical="center" wrapText="0" indent="0" justifyLastLine="0" shrinkToFit="0" readingOrder="0"/>
      <border diagonalUp="0" diagonalDown="0">
        <left style="medium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center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</font>
    </dxf>
    <dxf>
      <font>
        <b val="0"/>
        <i/>
        <strike/>
        <color rgb="FFFFC000"/>
      </font>
    </dxf>
    <dxf>
      <font>
        <color theme="4" tint="0.59996337778862885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</dxf>
    <dxf>
      <font>
        <b/>
        <strike val="0"/>
        <outline val="0"/>
        <shadow val="0"/>
        <u val="none"/>
        <vertAlign val="baseline"/>
        <sz val="9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minor"/>
      </font>
      <numFmt numFmtId="1" formatCode="0"/>
      <alignment horizontal="center" vertical="center" wrapText="0" indent="0" justifyLastLine="0" shrinkToFit="0" readingOrder="0"/>
      <border diagonalUp="0" diagonalDown="0">
        <left style="medium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center" wrapText="0" indent="0" justifyLastLine="0" shrinkToFit="0" readingOrder="0"/>
      <border diagonalUp="0" diagonalDown="0"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textRotation="0" wrapText="0" indent="0" justifyLastLine="0" shrinkToFit="0" readingOrder="0"/>
      <border diagonalUp="0" diagonalDown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/>
        <color rgb="FFFFC000"/>
      </font>
    </dxf>
    <dxf>
      <font>
        <b/>
        <i val="0"/>
      </font>
    </dxf>
    <dxf>
      <font>
        <b/>
        <i val="0"/>
      </font>
    </dxf>
    <dxf>
      <font>
        <color theme="4" tint="0.59996337778862885"/>
      </font>
    </dxf>
    <dxf>
      <font>
        <b val="0"/>
        <i/>
        <strike/>
        <color rgb="FFFFC000"/>
      </font>
    </dxf>
    <dxf>
      <font>
        <color theme="4" tint="0.59996337778862885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030A0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</border>
    </dxf>
    <dxf>
      <border outline="0">
        <bottom style="medium">
          <color theme="1"/>
        </bottom>
      </border>
    </dxf>
    <dxf>
      <border outline="0">
        <top style="medium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1" formatCode="0"/>
      <alignment horizontal="general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minor"/>
      </font>
      <numFmt numFmtId="1" formatCode="0"/>
      <alignment horizontal="center" vertical="center" wrapText="0" indent="0" justifyLastLine="0" shrinkToFit="0" readingOrder="0"/>
      <border diagonalUp="0" diagonalDown="0">
        <left style="medium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center" wrapText="0" indent="0" justifyLastLine="0" shrinkToFit="0" readingOrder="0"/>
      <border diagonalUp="0" diagonalDown="0" outline="0"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textRotation="0" wrapText="0" indent="0" justifyLastLine="0" shrinkToFit="0" readingOrder="0"/>
      <border diagonalUp="0" diagonalDown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</font>
    </dxf>
    <dxf>
      <font>
        <b/>
        <i val="0"/>
      </font>
    </dxf>
    <dxf>
      <font>
        <color theme="4" tint="0.59996337778862885"/>
      </font>
    </dxf>
    <dxf>
      <font>
        <b val="0"/>
        <i/>
        <strike/>
        <color rgb="FFFFC000"/>
      </font>
    </dxf>
    <dxf>
      <font>
        <b val="0"/>
        <i/>
        <strike/>
        <color rgb="FFFFC000"/>
      </font>
    </dxf>
    <dxf>
      <font>
        <color theme="4" tint="0.59996337778862885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1" formatCode="0"/>
      <alignment horizontal="left" vertic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minor"/>
      </font>
      <numFmt numFmtId="1" formatCode="0"/>
      <alignment horizontal="center" vertical="center" wrapText="0" indent="0" justifyLastLine="0" shrinkToFit="0" readingOrder="0"/>
      <border diagonalUp="0" diagonalDown="0">
        <left style="medium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center" wrapText="0" indent="0" justifyLastLine="0" shrinkToFit="0" readingOrder="0"/>
      <border diagonalUp="0" diagonalDown="0"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textRotation="0" wrapText="0" indent="0" justifyLastLine="0" shrinkToFit="0" readingOrder="0"/>
      <border diagonalUp="0" diagonalDown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/>
        <color rgb="FFFFC000"/>
      </font>
    </dxf>
    <dxf>
      <font>
        <b/>
        <i val="0"/>
      </font>
    </dxf>
    <dxf>
      <font>
        <b/>
        <i val="0"/>
      </font>
    </dxf>
    <dxf>
      <font>
        <color theme="4" tint="0.59996337778862885"/>
      </font>
    </dxf>
    <dxf>
      <font>
        <b val="0"/>
        <i/>
        <strike/>
        <color rgb="FFFFC000"/>
      </font>
    </dxf>
    <dxf>
      <font>
        <color theme="4" tint="0.59996337778862885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1" formatCode="0"/>
      <alignment horizontal="left" vertic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1" formatCode="0"/>
      <alignment horizontal="center" vertical="center" wrapText="0" indent="0" justifyLastLine="0" shrinkToFit="0" readingOrder="0"/>
      <border diagonalUp="0" diagonalDown="0">
        <left style="dashDot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</font>
    </dxf>
    <dxf>
      <font>
        <b val="0"/>
        <i/>
        <strike/>
        <color rgb="FFFFC000"/>
      </font>
    </dxf>
    <dxf>
      <font>
        <color theme="4" tint="0.59996337778862885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1" formatCode="0"/>
      <alignment horizontal="left" vertic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1" formatCode="0"/>
      <alignment horizontal="center" vertical="center" wrapText="0" indent="0" justifyLastLine="0" shrinkToFit="0" readingOrder="0"/>
      <border diagonalUp="0" diagonalDown="0">
        <left style="dashDot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</font>
    </dxf>
    <dxf>
      <font>
        <color theme="4" tint="0.59996337778862885"/>
      </font>
    </dxf>
    <dxf>
      <font>
        <b/>
        <i val="0"/>
      </font>
    </dxf>
    <dxf>
      <font>
        <b val="0"/>
        <i/>
        <strike/>
        <color rgb="FFFFC000"/>
      </font>
    </dxf>
    <dxf>
      <font>
        <color theme="4" tint="0.59996337778862885"/>
      </font>
    </dxf>
    <dxf>
      <font>
        <b val="0"/>
        <i/>
        <strike/>
        <color rgb="FFFFC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1" formatCode="0"/>
      <alignment horizontal="left" vertic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minor"/>
      </font>
      <numFmt numFmtId="1" formatCode="0"/>
      <alignment horizontal="center" vertical="center" wrapText="0" indent="0" justifyLastLine="0" shrinkToFit="0" readingOrder="0"/>
      <border diagonalUp="0" diagonalDown="0">
        <left style="medium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center" wrapText="0" indent="0" justifyLastLine="0" shrinkToFit="0" readingOrder="0"/>
      <border diagonalUp="0" diagonalDown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textRotation="0" wrapText="0" indent="0" justifyLastLine="0" shrinkToFit="0" readingOrder="0"/>
      <border diagonalUp="0" diagonalDown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</font>
    </dxf>
    <dxf>
      <font>
        <color theme="4" tint="0.59996337778862885"/>
      </font>
    </dxf>
    <dxf>
      <font>
        <b/>
        <i val="0"/>
      </font>
    </dxf>
    <dxf>
      <font>
        <color theme="4" tint="0.59996337778862885"/>
      </font>
    </dxf>
    <dxf>
      <font>
        <b/>
        <i val="0"/>
      </font>
    </dxf>
    <dxf>
      <font>
        <b val="0"/>
        <i/>
        <strike/>
        <color rgb="FFFFC000"/>
      </font>
    </dxf>
    <dxf>
      <font>
        <b val="0"/>
        <i/>
        <strike/>
        <color rgb="FFFFC000"/>
      </font>
    </dxf>
    <dxf>
      <font>
        <color theme="4" tint="0.59996337778862885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1" formatCode="0"/>
      <alignment horizontal="left" vertic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1" formatCode="0"/>
      <alignment horizontal="center" vertical="center" wrapText="0" indent="0" justifyLastLine="0" shrinkToFit="0" readingOrder="0"/>
      <border diagonalUp="0" diagonalDown="0">
        <left style="dashDot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/>
        <color rgb="FFFFC000"/>
      </font>
    </dxf>
    <dxf>
      <font>
        <b/>
        <i val="0"/>
      </font>
    </dxf>
    <dxf>
      <font>
        <b val="0"/>
        <i/>
        <strike/>
        <color rgb="FFFFC000"/>
      </font>
    </dxf>
    <dxf>
      <font>
        <b val="0"/>
        <i/>
        <strike/>
        <color rgb="FFFFC000"/>
      </font>
    </dxf>
    <dxf>
      <font>
        <color theme="4" tint="0.59996337778862885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1" formatCode="0"/>
      <alignment horizontal="left" vertic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1" formatCode="0"/>
      <alignment horizontal="center" vertical="center" wrapText="0" indent="0" justifyLastLine="0" shrinkToFit="0" readingOrder="0"/>
      <border diagonalUp="0" diagonalDown="0">
        <left style="dashDot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</font>
    </dxf>
    <dxf>
      <font>
        <color theme="4" tint="0.59996337778862885"/>
      </font>
    </dxf>
    <dxf>
      <font>
        <b/>
        <i val="0"/>
      </font>
    </dxf>
    <dxf>
      <font>
        <b val="0"/>
        <i/>
        <strike/>
        <color rgb="FFFFC000"/>
      </font>
    </dxf>
    <dxf>
      <font>
        <color theme="4" tint="0.59996337778862885"/>
      </font>
    </dxf>
    <dxf>
      <font>
        <b val="0"/>
        <i/>
        <strike/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1239FB3-A4EC-4902-8476-0569530D52C4}" name="spk1mk" displayName="spk1mk" ref="A7:Q47" totalsRowShown="0" headerRowDxfId="411" dataDxfId="410">
  <sortState xmlns:xlrd2="http://schemas.microsoft.com/office/spreadsheetml/2017/richdata2" ref="A8:P47">
    <sortCondition ref="B8:B47"/>
  </sortState>
  <tableColumns count="17">
    <tableColumn id="1" xr3:uid="{9FDCCB6A-9EDE-440F-96C9-75CBEF14650E}" name="Info" dataDxfId="409"/>
    <tableColumn id="2" xr3:uid="{AC7710B9-86E8-42EA-B139-96CA0FA52EC6}" name="RNK" dataDxfId="408">
      <calculatedColumnFormula>IF(spk1mk[[#This Row],[Name]]="","",_xlfn.RANK.EQ(spk1mk[[#This Row],[Result]],_xlnm.Criteria,0))</calculatedColumnFormula>
    </tableColumn>
    <tableColumn id="3" xr3:uid="{CB8E7FC1-F8A7-4A82-AF8B-42FB34A09A48}" name="Name" dataDxfId="407"/>
    <tableColumn id="4" xr3:uid="{4C0B7B00-B4F2-4635-B92C-DFFD179ED83E}" name="Fam. Name" dataDxfId="406"/>
    <tableColumn id="5" xr3:uid="{989B0C98-6C70-40C8-B183-7C40DB7D745C}" name="Club" dataDxfId="405"/>
    <tableColumn id="6" xr3:uid="{0FF1FDE8-423C-4E4A-BC17-3A2024B5D076}" name="Nat." dataDxfId="404"/>
    <tableColumn id="7" xr3:uid="{CB1A00BC-6240-4167-A4F9-B3BA277983EA}" name="1" dataDxfId="403"/>
    <tableColumn id="27" xr3:uid="{BD77769A-D5FF-4A55-8C69-8A1EAC9EB943}" name="2" dataDxfId="402"/>
    <tableColumn id="8" xr3:uid="{D1DF695B-4BBC-42E1-848A-B6D14F2E929C}" name="3" dataDxfId="401"/>
    <tableColumn id="28" xr3:uid="{CBC29EAE-5162-4A78-A16C-B3CF5BD78353}" name="4" dataDxfId="400"/>
    <tableColumn id="16" xr3:uid="{55B519FB-09D5-4ED9-8D81-D4E33F2F35A3}" name="5" dataDxfId="399"/>
    <tableColumn id="15" xr3:uid="{5FBFC48F-ADCF-4442-A765-BDA4789DD1BA}" name="6" dataDxfId="398"/>
    <tableColumn id="10" xr3:uid="{D9F78C6D-C58E-4C28-9500-C693DEEB2E55}" name="7" dataDxfId="397"/>
    <tableColumn id="29" xr3:uid="{4DC5563E-39E8-40A2-A847-D7816047A93A}" name="8" dataDxfId="396"/>
    <tableColumn id="13" xr3:uid="{66C45AB6-9345-4985-AA7F-B037326B1FD1}" name="Result" dataDxfId="395">
      <calculatedColumnFormula>SUMPRODUCT(spk1mk[[#This Row],[1]:[8]]*(spk1mk[[#This Row],[1]:[8]]&gt;=spk1mk[[#This Row],[L]]))</calculatedColumnFormula>
    </tableColumn>
    <tableColumn id="44" xr3:uid="{939B7FE9-580B-4A28-AC70-7BDCF0EB98E3}" name="L" dataDxfId="394">
      <calculatedColumnFormula>IF(spk1mk[[#This Row],[Name]]="",0,LARGE(spk1mk[[#This Row],[1]:[8]],$D$2))</calculatedColumnFormula>
    </tableColumn>
    <tableColumn id="17" xr3:uid="{4E05D03D-8093-43BE-BF0A-E645EAA3DFD6}" name="Prüfung" dataDxfId="393">
      <calculatedColumnFormula>IF(OR((COUNTIFS(spk1mk[[#This Row],[1]:[8]],"="&amp;spk1mk[[#This Row],[L]])=8),(COUNTIFS(spk1mk[[#This Row],[1]:[8]],"="&amp;spk1mk[[#This Row],[L]])&lt;2)),"OK","Fehler (zu wenig Streicher) [Gleiche Werte jeweils um 0,1 erhöhen]")</calculatedColumnFormula>
    </tableColumn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95279C3-87E0-4B07-A391-FAC7FA9CBE52}" name="spk1wk" displayName="spk1wk" ref="A52:Q61" totalsRowShown="0" headerRowDxfId="392" dataDxfId="391" tableBorderDxfId="390">
  <sortState xmlns:xlrd2="http://schemas.microsoft.com/office/spreadsheetml/2017/richdata2" ref="A53:Q61">
    <sortCondition ref="B53:B61"/>
  </sortState>
  <tableColumns count="17">
    <tableColumn id="1" xr3:uid="{7E085DB2-0190-4277-8A45-5761D0C427C4}" name="Info" dataDxfId="389"/>
    <tableColumn id="2" xr3:uid="{CAACA3FA-FA89-4F5C-BBCF-701B71F1BF95}" name="RNK" dataDxfId="388">
      <calculatedColumnFormula>IF(spk1wk[[#This Row],[Name]]="","",_xlfn.RANK.EQ(spk1wk[[#This Row],[Result]],spk1wk[Result],0))</calculatedColumnFormula>
    </tableColumn>
    <tableColumn id="3" xr3:uid="{1B78FCB8-F843-4E9C-9295-7B9D50596E51}" name="Name" dataDxfId="387"/>
    <tableColumn id="4" xr3:uid="{BE800006-FA4E-4AF5-86BE-62D3C3401894}" name="Fam. Name" dataDxfId="386"/>
    <tableColumn id="5" xr3:uid="{780F218F-B88C-4C37-8CF9-3EF46D8A7C92}" name="Club" dataDxfId="385"/>
    <tableColumn id="6" xr3:uid="{94503B51-EA16-4D45-B5A7-A018DBA7C3BC}" name="Nat." dataDxfId="384"/>
    <tableColumn id="7" xr3:uid="{B95F71D9-5E83-4061-B00F-C27837581FB9}" name="1" dataDxfId="383"/>
    <tableColumn id="8" xr3:uid="{17187FFD-ADAF-4E80-A285-CC171B313A3E}" name="2" dataDxfId="382"/>
    <tableColumn id="9" xr3:uid="{50B26877-F11B-4D91-BB86-097CCAC6564C}" name="3" dataDxfId="381"/>
    <tableColumn id="10" xr3:uid="{853B3371-623E-405F-9516-644DD98BB5C9}" name="4" dataDxfId="380"/>
    <tableColumn id="11" xr3:uid="{0863A869-02A4-4660-993F-EA6DDDCC72F8}" name="5" dataDxfId="379"/>
    <tableColumn id="12" xr3:uid="{9F88E4F0-2398-4504-AE8A-41E6EE9ACF0C}" name="6" dataDxfId="378"/>
    <tableColumn id="13" xr3:uid="{3E395DFC-693C-43B2-B118-0756494B3BC3}" name="7" dataDxfId="377"/>
    <tableColumn id="14" xr3:uid="{13B47448-A6F5-46F4-923F-54F9A62DF1BE}" name="8" dataDxfId="376"/>
    <tableColumn id="19" xr3:uid="{30B2CC85-6E2E-42BE-9F85-5EF85032E4A0}" name="Result" dataDxfId="375">
      <calculatedColumnFormula>SUMPRODUCT(spk1wk[[#This Row],[1]:[8]]*(spk1wk[[#This Row],[1]:[8]]&gt;=spk1wk[[#This Row],[L]]))</calculatedColumnFormula>
    </tableColumn>
    <tableColumn id="20" xr3:uid="{4E1406F3-A26E-4B9F-BF36-B65CDE004957}" name="L" dataDxfId="374">
      <calculatedColumnFormula>IF(spk1wk[[#This Row],[Name]]="",0,LARGE(spk1wk[[#This Row],[1]:[8]],$D$2))</calculatedColumnFormula>
    </tableColumn>
    <tableColumn id="21" xr3:uid="{A67E80D5-D9B9-41E2-9FBA-A67BB2218421}" name="Prüfung" dataDxfId="373">
      <calculatedColumnFormula>IF(OR((COUNTIFS(spk1wk[[#This Row],[1]:[8]],"="&amp;spk1wk[[#This Row],[L]])=8),(COUNTIFS(spk1wk[[#This Row],[1]:[8]],"="&amp;spk1wk[[#This Row],[L]])&lt;2)),"OK","Fehler (zu wenig Streicher) [Gleiche Werte jeweils um 0,1 erhöhen]")</calculatedColumnFormula>
    </tableColumn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C73BDE3-62A3-4F5A-9E67-1139F9DE7D60}" name="drk1mk" displayName="drk1mk" ref="A7:P19" totalsRowShown="0" headerRowDxfId="367" dataDxfId="366">
  <sortState xmlns:xlrd2="http://schemas.microsoft.com/office/spreadsheetml/2017/richdata2" ref="A8:O19">
    <sortCondition ref="B8:B19"/>
  </sortState>
  <tableColumns count="16">
    <tableColumn id="1" xr3:uid="{050E32B1-CC24-4D0C-964D-ACB94E504C04}" name="Info" dataDxfId="365"/>
    <tableColumn id="2" xr3:uid="{90525545-E76F-4E9A-A13D-627FA3388EC8}" name="RNK" dataDxfId="364">
      <calculatedColumnFormula>IF(drk1mk[[#This Row],[Name]]="","",_xlfn.RANK.EQ(drk1mk[[#This Row],[Result]],_xlnm.Criteria,0))</calculatedColumnFormula>
    </tableColumn>
    <tableColumn id="3" xr3:uid="{DAC8C558-BAFD-4996-8C8C-48ED43B27B61}" name="Name" dataDxfId="363"/>
    <tableColumn id="4" xr3:uid="{534ED4AD-48A2-4B21-8F86-8F3AE50C614E}" name="Fam. Name" dataDxfId="362"/>
    <tableColumn id="5" xr3:uid="{08F5DA34-5C21-4174-8D6C-214D351E7568}" name="Club" dataDxfId="361"/>
    <tableColumn id="6" xr3:uid="{A78971A7-D521-4B68-B11D-401B56080B47}" name="Nat." dataDxfId="360"/>
    <tableColumn id="27" xr3:uid="{2C311964-1D78-4E59-B0F7-53C3CCC56E34}" name="1" dataDxfId="359"/>
    <tableColumn id="28" xr3:uid="{82C2A871-0EF0-422B-B56C-4DECF5333E96}" name="2" dataDxfId="358"/>
    <tableColumn id="29" xr3:uid="{9CF8A65E-880C-4497-BFD2-5208C6BA42C8}" name="3" dataDxfId="357"/>
    <tableColumn id="9" xr3:uid="{40D45D02-677C-4084-AB39-F348FD8C1130}" name="4" dataDxfId="356"/>
    <tableColumn id="7" xr3:uid="{67D755A4-7172-48BC-8C80-9D7C683A43BD}" name="5" dataDxfId="355"/>
    <tableColumn id="10" xr3:uid="{BBF9DC79-05EB-4078-9E58-6059FC437844}" name="6" dataDxfId="354"/>
    <tableColumn id="12" xr3:uid="{ECE64BB7-F74A-4FA8-A781-06FBB9130EBE}" name="7" dataDxfId="353"/>
    <tableColumn id="13" xr3:uid="{69744C95-9567-43C5-8471-57AE2048792E}" name="Result" dataDxfId="352">
      <calculatedColumnFormula>SUMPRODUCT(drk1mk[[#This Row],[1]:[7]]*(drk1mk[[#This Row],[1]:[7]]&gt;=drk1mk[[#This Row],[L]]))</calculatedColumnFormula>
    </tableColumn>
    <tableColumn id="44" xr3:uid="{F03EBFC2-0B95-4830-AA08-2C0A295D4480}" name="L" dataDxfId="351">
      <calculatedColumnFormula>IF(drk1mk[[#This Row],[Name]]="",0,LARGE(drk1mk[[#This Row],[1]:[7]],$D$2))</calculatedColumnFormula>
    </tableColumn>
    <tableColumn id="8" xr3:uid="{4B60F141-CB21-4D99-BF5C-39D578147E7F}" name="Prüfung" dataDxfId="350">
      <calculatedColumnFormula>IF(OR((COUNTIFS(drk1mk[[#This Row],[1]:[7]],"="&amp;drk1mk[[#This Row],[L]])=6),(COUNTIFS(drk1mk[[#This Row],[1]:[7]],"="&amp;drk1mk[[#This Row],[L]])&lt;2)),"OK","Fehler (zu wenig Streicher) [Gleiche Werte jeweils um 0,1 erhöhen]")</calculatedColumnFormula>
    </tableColumn>
  </tableColumns>
  <tableStyleInfo name="TableStyleMedium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2645B10-66D1-4C04-B0E4-D4FB56CBE88D}" name="drk1wk" displayName="drk1wk" ref="A24:P34" totalsRowShown="0" headerRowDxfId="349" dataDxfId="348" tableBorderDxfId="347">
  <sortState xmlns:xlrd2="http://schemas.microsoft.com/office/spreadsheetml/2017/richdata2" ref="A25:P34">
    <sortCondition ref="B24:B34"/>
  </sortState>
  <tableColumns count="16">
    <tableColumn id="1" xr3:uid="{850445D5-E331-4060-8D2A-6D091F4FA4E6}" name="Info" dataDxfId="346"/>
    <tableColumn id="2" xr3:uid="{5693D401-5FE8-4FBE-BDBB-99EA323AF6AC}" name="RNK" dataDxfId="345">
      <calculatedColumnFormula>IF(drk1wk[[#This Row],[Name]]="","",_xlfn.RANK.EQ(drk1wk[[#This Row],[Result]],drk1wk[Result],0))</calculatedColumnFormula>
    </tableColumn>
    <tableColumn id="3" xr3:uid="{4FAE6C13-14D7-42B7-89FB-CD1435EED307}" name="Name" dataDxfId="344"/>
    <tableColumn id="4" xr3:uid="{CA621709-E535-4EAA-863E-9FD3F2CB5A9E}" name="Fam. Name" dataDxfId="343"/>
    <tableColumn id="5" xr3:uid="{4179BC9C-9121-44BE-81B1-65FE6D8F2CEB}" name="Club" dataDxfId="342"/>
    <tableColumn id="6" xr3:uid="{0DB0CA55-38E5-4F99-84E8-1D87F3F82278}" name="Nat." dataDxfId="341"/>
    <tableColumn id="7" xr3:uid="{5B516832-B12A-4568-9934-87BC5142D759}" name="1" dataDxfId="340"/>
    <tableColumn id="8" xr3:uid="{C5BA0249-3B83-4737-BE43-5FA91A9A0A8A}" name="2" dataDxfId="339"/>
    <tableColumn id="9" xr3:uid="{65961135-A045-4317-92A1-98197859AAFC}" name="3" dataDxfId="338"/>
    <tableColumn id="10" xr3:uid="{66AB962A-6451-4CBB-B338-3EF692F0C52C}" name="4" dataDxfId="337"/>
    <tableColumn id="11" xr3:uid="{9413BEB5-41DA-42A8-ACB0-59F4B3268219}" name="5" dataDxfId="336"/>
    <tableColumn id="12" xr3:uid="{027D3686-903B-41AB-9BE1-56F81623A058}" name="6" dataDxfId="335"/>
    <tableColumn id="16" xr3:uid="{756832C4-55FE-490D-AC9E-EA98D2F3E85B}" name="7" dataDxfId="334"/>
    <tableColumn id="13" xr3:uid="{0FE8A88E-F864-4391-8D11-CCF10AFE77C7}" name="Result" dataDxfId="333">
      <calculatedColumnFormula array="1">SUMPRODUCT(drk1wk[[#This Row],[1]:[7]]*(drk1wk[[#This Row],[1]:[7]]&gt;=drk1wk[[#This Row],[L]]))</calculatedColumnFormula>
    </tableColumn>
    <tableColumn id="14" xr3:uid="{75A08392-A2C3-46F4-8AC7-FB5D87C303C0}" name="L" dataDxfId="332">
      <calculatedColumnFormula>IF(drk1wk[[#This Row],[Name]]="",0,LARGE(drk1wk[[#This Row],[1]:[7]],$D$2))</calculatedColumnFormula>
    </tableColumn>
    <tableColumn id="15" xr3:uid="{F9FD2C62-8DB0-4A48-B3E8-C8766820A102}" name="Prüfung" dataDxfId="331">
      <calculatedColumnFormula>IF(OR((COUNTIFS(drk1wk[[#This Row],[1]:[6]],"="&amp;drk1wk[[#This Row],[L]])=6),(COUNTIFS(drk1wk[[#This Row],[1]:[6]],"="&amp;drk1wk[[#This Row],[L]])&lt;2)),"OK","Fehler (zu wenig Streicher) [Gleiche Werte jeweils um 0,1 erhöhen]")</calculatedColumnFormula>
    </tableColumn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727D77D-790D-4498-9BA4-B3FF72B54D78}" name="slk1mk" displayName="slk1mk" ref="A7:Q22" totalsRowShown="0" headerRowDxfId="322" dataDxfId="321">
  <sortState xmlns:xlrd2="http://schemas.microsoft.com/office/spreadsheetml/2017/richdata2" ref="A8:Q22">
    <sortCondition ref="B8:B22"/>
  </sortState>
  <tableColumns count="17">
    <tableColumn id="1" xr3:uid="{1F816F44-9004-47F1-8997-2F25DE4A8007}" name="Info" dataDxfId="320"/>
    <tableColumn id="2" xr3:uid="{E3E45836-CEA1-470C-B11A-37C24C34E606}" name="RNK" dataDxfId="319">
      <calculatedColumnFormula>IF(slk1mk[[#This Row],[Name]]="","",_xlfn.RANK.EQ(slk1mk[[#This Row],[Result]],_xlnm.Criteria,0))</calculatedColumnFormula>
    </tableColumn>
    <tableColumn id="3" xr3:uid="{57BA39DF-1245-4A15-BC1D-BCB7EF0B5FB0}" name="Name" dataDxfId="318"/>
    <tableColumn id="4" xr3:uid="{5A5392B2-CA22-40D1-9E70-91D4F86DAC0E}" name="Fam. Name" dataDxfId="317"/>
    <tableColumn id="5" xr3:uid="{D53FE9A1-44FA-437A-82AF-FE9A6F7D022E}" name="Club" dataDxfId="316"/>
    <tableColumn id="6" xr3:uid="{BC3DBAC7-B4F0-40E3-BEDD-03145E99F81E}" name="Nat." dataDxfId="315"/>
    <tableColumn id="29" xr3:uid="{8414D9EF-3F64-49CD-BF05-29E5AF322506}" name="1" dataDxfId="314"/>
    <tableColumn id="16" xr3:uid="{89E92DB1-F3CF-461A-BFFA-CA658AB6B8DD}" name="2" dataDxfId="313"/>
    <tableColumn id="30" xr3:uid="{7B424EBE-8A01-4612-986C-3C8271962885}" name="3" dataDxfId="312"/>
    <tableColumn id="18" xr3:uid="{D82355F2-C0D4-40F7-A1FF-01CDEADC043D}" name="4" dataDxfId="311"/>
    <tableColumn id="19" xr3:uid="{B3EC3DF5-ACB3-4589-A6F1-19AEA3B6A320}" name="5" dataDxfId="310"/>
    <tableColumn id="21" xr3:uid="{8D3003CE-4362-43DF-BC65-2BDFB16A9CEB}" name="6" dataDxfId="309"/>
    <tableColumn id="7" xr3:uid="{C0200518-BD06-40FF-8180-9780896D4BAC}" name="7" dataDxfId="308"/>
    <tableColumn id="24" xr3:uid="{DCEDB540-E563-4C26-9FFE-D48EAC9DF3D1}" name="8" dataDxfId="307"/>
    <tableColumn id="13" xr3:uid="{2E40C6F7-ED27-4A0B-8832-86F31097A7E8}" name="Result" dataDxfId="306">
      <calculatedColumnFormula array="1">SUMPRODUCT(slk1mk[[#This Row],[1]:[8]]*(slk1mk[[#This Row],[1]:[8]]&gt;=slk1mk[[#This Row],[L]]))</calculatedColumnFormula>
    </tableColumn>
    <tableColumn id="44" xr3:uid="{5DA6C744-C669-435E-B360-B7393394728B}" name="L" dataDxfId="305">
      <calculatedColumnFormula>IF(slk1mk[[#This Row],[Name]]="",0,LARGE(slk1mk[[#This Row],[1]:[8]],$D$2))</calculatedColumnFormula>
    </tableColumn>
    <tableColumn id="8" xr3:uid="{9BB4815C-09B5-4E7C-B2B7-6427FB8E8D2A}" name="Prüfung" dataDxfId="304">
      <calculatedColumnFormula>IF(OR((COUNTIFS(slk1mk[[#This Row],[1]:[8]],"="&amp;slk1mk[[#This Row],[L]])=6),(COUNTIFS(slk1mk[[#This Row],[1]:[8]],"="&amp;slk1mk[[#This Row],[L]])&lt;2)),"OK","Fehler (zu wenig Streicher) [Gleiche Werte jeweils um 0,1 erhöhen]")</calculatedColumnFormula>
    </tableColumn>
  </tableColumns>
  <tableStyleInfo name="TableStyleMedium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3FBCD5E-01F9-4A4E-B714-180ED9B6686C}" name="slk1wk" displayName="slk1wk" ref="A27:Q35" totalsRowShown="0" headerRowDxfId="303" dataDxfId="302">
  <sortState xmlns:xlrd2="http://schemas.microsoft.com/office/spreadsheetml/2017/richdata2" ref="A28:Q30">
    <sortCondition ref="B28:B35"/>
  </sortState>
  <tableColumns count="17">
    <tableColumn id="1" xr3:uid="{D3D2C8E5-EA36-496D-A6D1-B92756F4F2C8}" name="Info" dataDxfId="301"/>
    <tableColumn id="2" xr3:uid="{270BF4B1-F3E9-4208-9D57-B6613A08C0AD}" name="RNK" dataDxfId="300">
      <calculatedColumnFormula>IF(slk1wk[[#This Row],[Name]]="","",_xlfn.RANK.EQ(slk1wk[[#This Row],[Result]],slk1wk[Result],0))</calculatedColumnFormula>
    </tableColumn>
    <tableColumn id="3" xr3:uid="{4A5F7247-D622-4EAD-BB6D-AA45DD061E7D}" name="Name" dataDxfId="299"/>
    <tableColumn id="4" xr3:uid="{D98B45C4-DB6B-44F6-8FC3-AF7D7599701A}" name="Fam. Name" dataDxfId="298"/>
    <tableColumn id="5" xr3:uid="{2A13B27B-5E13-423B-8384-E25702D74A78}" name="Club" dataDxfId="297"/>
    <tableColumn id="6" xr3:uid="{217E6D3B-2F1F-4C57-A215-0C90C9180997}" name="Nat." dataDxfId="296"/>
    <tableColumn id="7" xr3:uid="{C85E8AF6-EBD9-46C4-A682-7CFC8DEB97EE}" name="1" dataDxfId="295"/>
    <tableColumn id="8" xr3:uid="{2FB18A35-484F-417D-897E-A8430117EA01}" name="2" dataDxfId="294"/>
    <tableColumn id="9" xr3:uid="{9A6762B2-90FE-46D6-9704-E3881D95A891}" name="3" dataDxfId="293"/>
    <tableColumn id="10" xr3:uid="{2E80923B-2B1D-4BC7-A3FB-0E42DF5F00B9}" name="4" dataDxfId="292"/>
    <tableColumn id="11" xr3:uid="{546864C4-FA92-45D8-964D-34094638C66F}" name="5" dataDxfId="291"/>
    <tableColumn id="12" xr3:uid="{51822475-7851-404F-9C14-B8452E67540A}" name="6" dataDxfId="290"/>
    <tableColumn id="13" xr3:uid="{E8369DAD-E3EB-4E27-8B22-3BF91318CCB2}" name="7" dataDxfId="289"/>
    <tableColumn id="14" xr3:uid="{C8B51F25-C750-42FF-ACE9-A5DFF0561713}" name="8" dataDxfId="288"/>
    <tableColumn id="19" xr3:uid="{67C8DEA0-D812-476B-9672-DE971377CB68}" name="Result" dataDxfId="287">
      <calculatedColumnFormula>SUMPRODUCT(slk1wk[[#This Row],[1]:[8]]*(slk1wk[[#This Row],[1]:[8]]&gt;=slk1wk[[#This Row],[L]]))</calculatedColumnFormula>
    </tableColumn>
    <tableColumn id="20" xr3:uid="{8AFAA785-901C-491B-B1CD-A96A28134766}" name="L" dataDxfId="286">
      <calculatedColumnFormula>IF(slk1wk[[#This Row],[Name]]="",0,LARGE(slk1wk[[#This Row],[1]:[8]],$D$2))</calculatedColumnFormula>
    </tableColumn>
    <tableColumn id="21" xr3:uid="{93F82605-7D64-4579-8D85-2D72CF07460D}" name="Prüfung" dataDxfId="285">
      <calculatedColumnFormula>IF(OR((COUNTIFS(slk1wk[[#This Row],[1]:[8]],"="&amp;slk1wk[[#This Row],[L]])=6),(COUNTIFS(slk1wk[[#This Row],[1]:[8]],"="&amp;slk1wk[[#This Row],[L]])&lt;2)),"OK","Fehler (zu wenig Streicher) [Gleiche Werte jeweils um 0,1 erhöhen]")</calculatedColumnFormula>
    </tableColumn>
  </tableColumns>
  <tableStyleInfo name="TableStyleMedium2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2D5575-4689-46CD-9817-D80010C8581F}" name="spk1mu14" displayName="spk1mu14" ref="A7:Q47" totalsRowShown="0" headerRowDxfId="278" dataDxfId="277">
  <sortState xmlns:xlrd2="http://schemas.microsoft.com/office/spreadsheetml/2017/richdata2" ref="A8:Q15">
    <sortCondition ref="B7:B47"/>
  </sortState>
  <tableColumns count="17">
    <tableColumn id="1" xr3:uid="{1062B427-B8E8-4790-BDF1-E0EDA0B1D1E4}" name="Info" dataDxfId="276"/>
    <tableColumn id="2" xr3:uid="{A696FB3A-53E0-43B6-9C7C-899D28DEAEB3}" name="RNK" dataDxfId="275">
      <calculatedColumnFormula>IF(spk1mu14[[#This Row],[Name]]="","",_xlfn.RANK.EQ(spk1mu14[[#This Row],[Result]],_xlnm.Criteria,0))</calculatedColumnFormula>
    </tableColumn>
    <tableColumn id="3" xr3:uid="{83ACA927-1730-4AC2-9113-2B4FAD9FCC63}" name="Name" dataDxfId="274"/>
    <tableColumn id="4" xr3:uid="{8D2D3170-BCF2-4453-8344-D7F817931EA9}" name="Fam. Name" dataDxfId="273"/>
    <tableColumn id="5" xr3:uid="{2E5C7168-69E1-4556-A220-671B7CA31F13}" name="Club" dataDxfId="272"/>
    <tableColumn id="6" xr3:uid="{AEA068B9-E6DF-4695-9499-01DE83174664}" name="Nat." dataDxfId="271"/>
    <tableColumn id="7" xr3:uid="{A5DD3156-12B4-4595-872B-2782078D4B18}" name="1" dataDxfId="270"/>
    <tableColumn id="27" xr3:uid="{E4D97EB5-AEE6-4338-9C0B-C7DA5DE1288B}" name="2" dataDxfId="269"/>
    <tableColumn id="8" xr3:uid="{F0A79E32-594D-4C69-AC2E-FD2D00F958C3}" name="3" dataDxfId="268"/>
    <tableColumn id="28" xr3:uid="{5845D940-FA01-4E24-9C4D-1020DA98CE15}" name="4" dataDxfId="267"/>
    <tableColumn id="16" xr3:uid="{65C13724-88A5-4AD7-9444-7DB35FC4612C}" name="5" dataDxfId="266"/>
    <tableColumn id="15" xr3:uid="{5CF32903-1D44-4FFB-9AD5-8AD1CF41F66C}" name="6" dataDxfId="265"/>
    <tableColumn id="10" xr3:uid="{51C64F3D-2245-441B-AAE2-2E44BEB3FDF5}" name="7" dataDxfId="264"/>
    <tableColumn id="29" xr3:uid="{822168DC-B3B9-4A93-93E7-4A405456BA6D}" name="8" dataDxfId="263"/>
    <tableColumn id="13" xr3:uid="{D1B79A01-25C2-4E53-A32B-6C3FCEFC92A1}" name="Result" dataDxfId="262">
      <calculatedColumnFormula>SUMPRODUCT(spk1mu14[[#This Row],[1]:[8]]*(spk1mu14[[#This Row],[1]:[8]]&gt;=spk1mu14[[#This Row],[L]]))</calculatedColumnFormula>
    </tableColumn>
    <tableColumn id="44" xr3:uid="{47BCDF64-A257-4BA1-857F-7BE3DB48AB43}" name="L" dataDxfId="261">
      <calculatedColumnFormula>IF(spk1mu14[[#This Row],[Name]]="",0,LARGE(spk1mu14[[#This Row],[1]:[8]],$D$2))</calculatedColumnFormula>
    </tableColumn>
    <tableColumn id="17" xr3:uid="{BC6D6C58-E7EA-4096-84F1-6BF678072E5C}" name="Prüfung" dataDxfId="260">
      <calculatedColumnFormula>IF(OR((COUNTIFS(spk1mu14[[#This Row],[1]:[8]],"="&amp;spk1mu14[[#This Row],[L]])=8),(COUNTIFS(spk1mu14[[#This Row],[1]:[8]],"="&amp;spk1mu14[[#This Row],[L]])&lt;2)),"OK","Fehler (zu wenig Streicher) [Gleiche Werte jeweils um 0,001 erhöhen]")</calculatedColumnFormula>
    </tableColumn>
  </tableColumns>
  <tableStyleInfo name="TableStyleMedium2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A345DF-C374-4305-B7C8-4D697FBCB452}" name="spk1wu14" displayName="spk1wu14" ref="A52:Q64" totalsRowShown="0" headerRowDxfId="259" dataDxfId="258" tableBorderDxfId="257">
  <tableColumns count="17">
    <tableColumn id="1" xr3:uid="{95B443D6-BEEF-4781-8315-DEA103E2F2F4}" name="Info" dataDxfId="256"/>
    <tableColumn id="2" xr3:uid="{B315A3A1-99D4-45B9-BE36-9499FEBFB4AA}" name="RNK" dataDxfId="255">
      <calculatedColumnFormula>IF(spk1wu14[[#This Row],[Name]]="","",_xlfn.RANK.EQ(spk1wu14[[#This Row],[Result]],spk1wu14[Result],0))</calculatedColumnFormula>
    </tableColumn>
    <tableColumn id="3" xr3:uid="{C7D8862F-26AB-4AA0-A6D8-27B40227D3AA}" name="Name" dataDxfId="254"/>
    <tableColumn id="4" xr3:uid="{7FEB7764-E27A-473A-86C5-8F0FDDA8E2C4}" name="Fam. Name" dataDxfId="253"/>
    <tableColumn id="5" xr3:uid="{064D2689-66D4-446D-9523-52DF01DB94D6}" name="Club" dataDxfId="252"/>
    <tableColumn id="6" xr3:uid="{CBE285B2-705C-44CB-B8F1-6BA02304A248}" name="Nat." dataDxfId="251"/>
    <tableColumn id="7" xr3:uid="{A246431F-3F11-4761-9536-F0DC16AC347E}" name="1" dataDxfId="250"/>
    <tableColumn id="8" xr3:uid="{5DEAEC13-EDF7-4080-B87A-C1351CED3C22}" name="2" dataDxfId="249"/>
    <tableColumn id="9" xr3:uid="{D8D81EC7-74DF-4624-9459-60168D484466}" name="3" dataDxfId="248"/>
    <tableColumn id="10" xr3:uid="{6369EF8A-90ED-4961-83A3-DFBD379ABA87}" name="4" dataDxfId="247"/>
    <tableColumn id="11" xr3:uid="{5D818F55-325F-4FBD-BD72-49C2140DF9AE}" name="5" dataDxfId="246"/>
    <tableColumn id="12" xr3:uid="{D3869579-BF93-4415-A16D-92EB923C434F}" name="6" dataDxfId="245"/>
    <tableColumn id="13" xr3:uid="{6FE863F5-9803-426F-8A32-126D07305534}" name="7" dataDxfId="244"/>
    <tableColumn id="14" xr3:uid="{F1FDE497-1889-4C3C-A0B4-877F91EE8C79}" name="8" dataDxfId="243"/>
    <tableColumn id="19" xr3:uid="{AF5D265F-1616-4826-B942-A09F1687122A}" name="Result" dataDxfId="242">
      <calculatedColumnFormula>SUMPRODUCT(spk1wu14[[#This Row],[1]:[8]]*(spk1wu14[[#This Row],[1]:[8]]&gt;=spk1wu14[[#This Row],[L]]))</calculatedColumnFormula>
    </tableColumn>
    <tableColumn id="20" xr3:uid="{B3D30F77-AC54-4548-AA57-5BEC7E753FEB}" name="L" dataDxfId="241">
      <calculatedColumnFormula>IF(spk1wu14[[#This Row],[Name]]="",0,LARGE(spk1wu14[[#This Row],[1]:[8]],$D$2))</calculatedColumnFormula>
    </tableColumn>
    <tableColumn id="21" xr3:uid="{D705A96B-7A4E-4A52-9043-189AE2AC8B06}" name="Prüfung" dataDxfId="240">
      <calculatedColumnFormula>IF(OR((COUNTIFS(spk1wu14[[#This Row],[1]:[8]],"="&amp;spk1wu14[[#This Row],[L]])=8),(COUNTIFS(spk1wu14[[#This Row],[1]:[8]],"="&amp;spk1wu14[[#This Row],[L]])&lt;2)),"OK","Fehler (zu wenig Streicher) [Gleiche Werte jeweils um 0,001 erhöhen]")</calculatedColumnFormula>
    </tableColumn>
  </tableColumns>
  <tableStyleInfo name="TableStyleMedium2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E70ED3D-A8D7-408C-9F1A-66A28178BDA5}" name="drk1mu14" displayName="drk1mu14" ref="A7:P23" totalsRowShown="0" headerRowDxfId="236" dataDxfId="235">
  <sortState xmlns:xlrd2="http://schemas.microsoft.com/office/spreadsheetml/2017/richdata2" ref="A8:P23">
    <sortCondition descending="1" ref="N8:N23"/>
  </sortState>
  <tableColumns count="16">
    <tableColumn id="1" xr3:uid="{41D5E7C7-CFC0-4B3F-A26F-2B79897276FF}" name="Info" dataDxfId="234"/>
    <tableColumn id="2" xr3:uid="{14403CC9-BFE7-449E-BE8F-13F5ECA3A2AB}" name="RNK" dataDxfId="233">
      <calculatedColumnFormula>IF(drk1mu14[[#This Row],[Name]]="","",_xlfn.RANK.EQ(drk1mu14[[#This Row],[Result]],_xlnm.Criteria,0))</calculatedColumnFormula>
    </tableColumn>
    <tableColumn id="3" xr3:uid="{8B5AA06D-DAF5-4A2A-B7AC-5DD3F94F81E0}" name="Name" dataDxfId="232"/>
    <tableColumn id="4" xr3:uid="{EF267F73-0CE4-41BE-8148-22F38EF523DB}" name="Fam. Name" dataDxfId="231"/>
    <tableColumn id="5" xr3:uid="{32D262DA-5A73-4762-9196-DEABB304D5FA}" name="Club" dataDxfId="230"/>
    <tableColumn id="6" xr3:uid="{F9434342-85A3-4F7E-8A5F-D737E4BD9695}" name="Nat." dataDxfId="229"/>
    <tableColumn id="27" xr3:uid="{7E9ABCCD-0E82-47D2-B8BC-E5D975B17CE6}" name="1" dataDxfId="228"/>
    <tableColumn id="28" xr3:uid="{D40328FF-8A1E-462B-911B-CB674D48AFA0}" name="2" dataDxfId="227"/>
    <tableColumn id="29" xr3:uid="{44202556-1D9A-434C-98B6-B4CFE8DBB414}" name="3" dataDxfId="226"/>
    <tableColumn id="9" xr3:uid="{A0205B3C-E891-4280-9013-E4041E87E068}" name="4" dataDxfId="225"/>
    <tableColumn id="7" xr3:uid="{B309D117-7279-4E24-A975-2B6D2D8F5A5F}" name="5" dataDxfId="224"/>
    <tableColumn id="10" xr3:uid="{0473E53C-2AF0-44CC-B597-107E205A7485}" name="6" dataDxfId="223"/>
    <tableColumn id="12" xr3:uid="{C2A56040-6257-4400-A8B3-A693254F4B34}" name="7" dataDxfId="222"/>
    <tableColumn id="13" xr3:uid="{A77E97CC-F0FC-4DEE-A4A0-CCBBA2C8D467}" name="Result" dataDxfId="221">
      <calculatedColumnFormula array="1">SUMPRODUCT(drk1mu14[[#This Row],[1]:[7]]*(drk1mu14[[#This Row],[1]:[7]]&gt;=drk1mu14[[#This Row],[L]]))</calculatedColumnFormula>
    </tableColumn>
    <tableColumn id="44" xr3:uid="{2C2594D0-1F0B-48B4-905A-DB596598E951}" name="L" dataDxfId="220">
      <calculatedColumnFormula>IF(drk1mu14[[#This Row],[Name]]="",0,LARGE(drk1mu14[[#This Row],[1]:[7]],$D$2))</calculatedColumnFormula>
    </tableColumn>
    <tableColumn id="8" xr3:uid="{4BCFE1CF-016D-4490-94BA-578B98B1CE91}" name="Prüfung" dataDxfId="219">
      <calculatedColumnFormula>IF(OR((COUNTIFS(drk1mu14[[#This Row],[1]:[7]],"="&amp;drk1mu14[[#This Row],[L]])=6),(COUNTIFS(drk1mu14[[#This Row],[1]:[7]],"="&amp;drk1mu14[[#This Row],[L]])&lt;2)),"OK","Fehler (zu wenig Streicher) [Gleiche Werte jeweils um 0,1 erhöhen]")</calculatedColumnFormula>
    </tableColumn>
  </tableColumns>
  <tableStyleInfo name="TableStyleMedium2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BA2AF0B-8246-4EB6-83C1-2A16021142C8}" name="drk1wu14" displayName="drk1wu14" ref="A28:P41" totalsRowShown="0" headerRowDxfId="218" dataDxfId="217" tableBorderDxfId="216">
  <tableColumns count="16">
    <tableColumn id="1" xr3:uid="{B6EE8B52-F4CB-4FD9-91E9-67F97DA72A6D}" name="Info" dataDxfId="215"/>
    <tableColumn id="2" xr3:uid="{68DEF020-79E1-4031-9ECC-8D2A84510CC8}" name="RNK" dataDxfId="214">
      <calculatedColumnFormula>IF(drk1wu14[[#This Row],[Name]]="","",_xlfn.RANK.EQ(drk1wu14[[#This Row],[Result]],drk1wu14[Result],0))</calculatedColumnFormula>
    </tableColumn>
    <tableColumn id="3" xr3:uid="{E996AB23-4904-45E1-9E9E-F87953413810}" name="Name" dataDxfId="213"/>
    <tableColumn id="4" xr3:uid="{EB556B57-9278-4659-9A6A-8BE8354C243C}" name="Fam. Name" dataDxfId="212"/>
    <tableColumn id="5" xr3:uid="{70E44AC0-3092-4FA0-AC73-3239C48F956E}" name="Club" dataDxfId="211"/>
    <tableColumn id="6" xr3:uid="{52B256CD-9271-4211-8A15-6960CC550D7A}" name="Nat." dataDxfId="210"/>
    <tableColumn id="7" xr3:uid="{3BAE98A9-A74E-4726-9242-B93347C22C0B}" name="1" dataDxfId="209"/>
    <tableColumn id="8" xr3:uid="{69E9FA81-2823-48B7-98F9-9D6E0F935E9C}" name="2" dataDxfId="208"/>
    <tableColumn id="9" xr3:uid="{07A10F8E-34FE-44CC-BB33-ECB6231A75B0}" name="3" dataDxfId="207"/>
    <tableColumn id="10" xr3:uid="{0491C482-A7CE-4339-BA08-751AC157E654}" name="4" dataDxfId="206"/>
    <tableColumn id="11" xr3:uid="{F303C7ED-2E9F-4BB2-8F9F-B57D539B0C03}" name="5" dataDxfId="205"/>
    <tableColumn id="12" xr3:uid="{47213E62-F514-473F-8742-8DFD941CB53F}" name="6" dataDxfId="204"/>
    <tableColumn id="16" xr3:uid="{A3BCA7CD-BD4E-4C3A-8E51-21A3131587EA}" name="7" dataDxfId="203"/>
    <tableColumn id="13" xr3:uid="{AFCEFC1A-100F-454D-A06E-DC991B985486}" name="Result" dataDxfId="202">
      <calculatedColumnFormula>SUMPRODUCT(drk1wu14[[#This Row],[1]:[6]]*(drk1wu14[[#This Row],[1]:[6]]&gt;=drk1wu14[[#This Row],[L]]))</calculatedColumnFormula>
    </tableColumn>
    <tableColumn id="14" xr3:uid="{317043F7-F347-49CB-9E2B-DB55B26BF231}" name="L" dataDxfId="201">
      <calculatedColumnFormula>IF(drk1wu14[[#This Row],[Name]]="",0,LARGE(drk1wu14[[#This Row],[1]:[7]],$D$2))</calculatedColumnFormula>
    </tableColumn>
    <tableColumn id="15" xr3:uid="{A95B6947-2205-4F99-B2EF-D5E72182FF37}" name="Prüfung" dataDxfId="200">
      <calculatedColumnFormula>IF(OR((COUNTIFS(drk1wu14[[#This Row],[1]:[6]],"="&amp;drk1wu14[[#This Row],[L]])=6),(COUNTIFS(drk1wu14[[#This Row],[1]:[6]],"="&amp;drk1wu14[[#This Row],[L]])&lt;2)),"OK","Fehler (zu wenig Streicher) [Gleiche Werte jeweils um 0,1 erhöhen]")</calculatedColumnFormula>
    </tableColumn>
  </tableColumns>
  <tableStyleInfo name="TableStyleMedium2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57A668-B0B3-491B-A0CE-4CBEDBCE2A39}" name="slk1mu14" displayName="slk1mu14" ref="A7:U22" totalsRowShown="0" headerRowDxfId="193" dataDxfId="192">
  <sortState xmlns:xlrd2="http://schemas.microsoft.com/office/spreadsheetml/2017/richdata2" ref="A8:U22">
    <sortCondition descending="1" ref="S8:S22"/>
  </sortState>
  <tableColumns count="21">
    <tableColumn id="1" xr3:uid="{BD7C2E09-1EFA-44F5-9926-D58E1A435696}" name="Info" dataDxfId="191"/>
    <tableColumn id="2" xr3:uid="{397840B9-D136-4695-8874-C7FA3BFEC2AC}" name="RNK" dataDxfId="190">
      <calculatedColumnFormula>IF(slk1mu14[[#This Row],[Name]]="","",_xlfn.RANK.EQ(slk1mu14[[#This Row],[Result]],_xlnm.Criteria,0))</calculatedColumnFormula>
    </tableColumn>
    <tableColumn id="3" xr3:uid="{C566BFCC-6DD6-4A17-968F-F56E209BEFAE}" name="Name" dataDxfId="189"/>
    <tableColumn id="4" xr3:uid="{3EDB0F0C-9534-4EE6-93C2-84276C5F6660}" name="Fam. Name" dataDxfId="188"/>
    <tableColumn id="5" xr3:uid="{F73980EF-FE29-43B3-B794-4D76A1F9BB2D}" name="Club" dataDxfId="187"/>
    <tableColumn id="6" xr3:uid="{939BD933-AEEA-4ED9-9E7A-62E90639A551}" name="Nat." dataDxfId="186"/>
    <tableColumn id="27" xr3:uid="{9BC41B48-8B65-4348-8458-07CA52535656}" name="1" dataDxfId="185"/>
    <tableColumn id="28" xr3:uid="{F2A2A6B3-3001-4BBA-BE57-AA1C9A52FA35}" name="2" dataDxfId="184"/>
    <tableColumn id="29" xr3:uid="{EFD53994-BF9D-4547-BB01-BAE32525A85C}" name="3" dataDxfId="183"/>
    <tableColumn id="16" xr3:uid="{69CAFF93-0929-4087-B5D7-CC1C5780A8EC}" name="4" dataDxfId="182"/>
    <tableColumn id="30" xr3:uid="{974786C9-2C2D-40EA-A7CB-1B8F60C93C81}" name="5" dataDxfId="181"/>
    <tableColumn id="18" xr3:uid="{08EF41CB-A922-43FA-B548-3699765783E3}" name="6" dataDxfId="180"/>
    <tableColumn id="19" xr3:uid="{2C7EB051-D019-42B6-9EDC-EF06E1253A87}" name="7" dataDxfId="179"/>
    <tableColumn id="21" xr3:uid="{2463A079-7794-40CC-91AA-F7CA9D3D86A8}" name="8" dataDxfId="178"/>
    <tableColumn id="7" xr3:uid="{2F319606-AC43-2444-96E7-F28B2343CF5F}" name="9" dataDxfId="177"/>
    <tableColumn id="24" xr3:uid="{797F7080-0A38-7245-87C6-91D443EF2153}" name="10" dataDxfId="176"/>
    <tableColumn id="36" xr3:uid="{FC9C70CC-C48F-4AEB-A8D4-494261B68004}" name="11" dataDxfId="175"/>
    <tableColumn id="12" xr3:uid="{03DEB21D-0E9E-42F1-B28D-451430549D70}" name="12" dataDxfId="174"/>
    <tableColumn id="13" xr3:uid="{F67301B9-D503-4A86-B70E-D7435BE822D3}" name="Result" dataDxfId="173">
      <calculatedColumnFormula>SUMPRODUCT(slk1mu14[[#This Row],[1]:[12]]*(slk1mu14[[#This Row],[1]:[12]]&gt;=slk1mu14[[#This Row],[L]]))</calculatedColumnFormula>
    </tableColumn>
    <tableColumn id="44" xr3:uid="{979159A1-9133-4248-9D50-2C2CC56B901F}" name="L" dataDxfId="172">
      <calculatedColumnFormula>IF(slk1mu14[[#This Row],[Name]]="",0,LARGE(slk1mu14[[#This Row],[1]:[12]],$D$2))</calculatedColumnFormula>
    </tableColumn>
    <tableColumn id="8" xr3:uid="{3622ED17-7DF0-4B18-9CE1-AA7BD22244D6}" name="Prüfung" dataDxfId="171">
      <calculatedColumnFormula>IF(OR((COUNTIFS(slk1mu14[[#This Row],[1]:[12]],"="&amp;slk1mu14[[#This Row],[L]])=12),(COUNTIFS(slk1mu14[[#This Row],[1]:[12]],"="&amp;slk1mu14[[#This Row],[L]])&lt;2)),"OK","Fehler (zu wenig Streicher) [Gleiche Werte jeweils um 0,1 erhöhen]")</calculatedColumnFormula>
    </tableColumn>
  </tableColumns>
  <tableStyleInfo name="TableStyleMedium2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54270B9-F993-49B9-87A2-9F447E0C5CDB}" name="slk1wu14" displayName="slk1wu14" ref="A27:U35" totalsRowShown="0" headerRowDxfId="170" dataDxfId="169">
  <tableColumns count="21">
    <tableColumn id="1" xr3:uid="{091BFC25-BCB2-49FD-BCE7-0910A9A6814F}" name="Info" dataDxfId="168"/>
    <tableColumn id="2" xr3:uid="{5FA4CE57-71EF-477D-8632-68D348CF174B}" name="RNK" dataDxfId="167">
      <calculatedColumnFormula>IF(slk1wu14[[#This Row],[Name]]="","",_xlfn.RANK.EQ(slk1wu14[[#This Row],[Result]],slk1wu14[Result],0))</calculatedColumnFormula>
    </tableColumn>
    <tableColumn id="3" xr3:uid="{023B6566-E36E-4129-B634-D7E146B0ADCE}" name="Name" dataDxfId="166"/>
    <tableColumn id="4" xr3:uid="{9B99FE2D-D8E3-4F53-B1AE-66B34FC90E85}" name="Fam. Name" dataDxfId="165"/>
    <tableColumn id="5" xr3:uid="{F6785351-21B3-463D-AEAD-CFA6A969CE60}" name="Club" dataDxfId="164"/>
    <tableColumn id="6" xr3:uid="{D15A6A4A-0C0A-4A5E-80A9-862EBF6B7B7C}" name="Nat." dataDxfId="163"/>
    <tableColumn id="7" xr3:uid="{29914184-F4C9-4B47-8F64-94455F35782C}" name="1" dataDxfId="162"/>
    <tableColumn id="8" xr3:uid="{FFF51CA9-E53B-46E4-9DBA-68C18D0CB35F}" name="2" dataDxfId="161"/>
    <tableColumn id="9" xr3:uid="{747FC241-E906-45D8-A65F-0E48E0E1EE0B}" name="3" dataDxfId="160"/>
    <tableColumn id="10" xr3:uid="{06F29CA4-518C-40C2-A7C4-1816FE30A710}" name="4" dataDxfId="159"/>
    <tableColumn id="11" xr3:uid="{D3E5896D-CD30-47F6-8101-BCD458B03410}" name="5" dataDxfId="158"/>
    <tableColumn id="12" xr3:uid="{235315C5-B6C5-43F4-BE64-DAFAC060513B}" name="6" dataDxfId="157"/>
    <tableColumn id="13" xr3:uid="{1D8E735C-1D13-4D75-BE46-FC95A492B879}" name="7" dataDxfId="156"/>
    <tableColumn id="14" xr3:uid="{CF25FBD4-41FB-4517-BB05-C99F2D217E29}" name="8" dataDxfId="155"/>
    <tableColumn id="15" xr3:uid="{2C7B5A3F-38F8-4C21-8D54-BDBDBF75FB31}" name="9" dataDxfId="154"/>
    <tableColumn id="16" xr3:uid="{8489E850-5C75-4787-AC5E-A6DC9D437DC9}" name="10" dataDxfId="153"/>
    <tableColumn id="17" xr3:uid="{3A7CD176-AAEC-4804-BDDB-29FDBA79B1B6}" name="11" dataDxfId="152"/>
    <tableColumn id="18" xr3:uid="{B71D217A-A7C6-412E-B99B-D3512B606764}" name="12" dataDxfId="151"/>
    <tableColumn id="19" xr3:uid="{3046322A-AE5D-4FD0-B733-DBFE2D993A56}" name="Result" dataDxfId="150">
      <calculatedColumnFormula>SUMPRODUCT(slk1wu14[[#This Row],[1]:[12]]*(slk1wu14[[#This Row],[1]:[12]]&gt;=slk1wu14[[#This Row],[L]]))</calculatedColumnFormula>
    </tableColumn>
    <tableColumn id="20" xr3:uid="{A78307C0-F8E9-445A-8535-9A7E4D52ED5E}" name="L" dataDxfId="149">
      <calculatedColumnFormula>IF(slk1wu14[[#This Row],[Name]]="",0,LARGE(slk1wu14[[#This Row],[1]:[12]],$D$2))</calculatedColumnFormula>
    </tableColumn>
    <tableColumn id="21" xr3:uid="{B85096AC-C6B9-40F5-AB33-81F0433088A8}" name="Prüfung" dataDxfId="148">
      <calculatedColumnFormula>IF(OR((COUNTIFS(slk1wu14[[#This Row],[1]:[12]],"="&amp;slk1wu14[[#This Row],[L]])=12),(COUNTIFS(slk1wu14[[#This Row],[1]:[12]],"="&amp;slk1wu14[[#This Row],[L]])&lt;2)),"OK","Fehler (zu wenig Streicher) [Gleiche Werte jeweils um 0,1 erhöhen]")</calculatedColumnFormula>
    </tableColumn>
  </tableColumns>
  <tableStyleInfo name="TableStyleMedium2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10B1256-C88D-4A41-8813-B52EFB45E993}" name="spk1mu18" displayName="spk1mu18" ref="A7:S27" totalsRowShown="0" headerRowDxfId="141" dataDxfId="140">
  <sortState xmlns:xlrd2="http://schemas.microsoft.com/office/spreadsheetml/2017/richdata2" ref="A8:S15">
    <sortCondition ref="B7:B27"/>
  </sortState>
  <tableColumns count="19">
    <tableColumn id="1" xr3:uid="{07EF4360-4BFB-4079-9701-D391D06BB1D3}" name="Info" dataDxfId="139"/>
    <tableColumn id="2" xr3:uid="{5B393737-ADFD-494C-A7EE-141E5B888CD7}" name="RNK" dataDxfId="138">
      <calculatedColumnFormula>IF(spk1mu18[[#This Row],[Name]]="","",_xlfn.RANK.EQ(spk1mu18[[#This Row],[Result]],_xlnm.Criteria,0))</calculatedColumnFormula>
    </tableColumn>
    <tableColumn id="3" xr3:uid="{E0547166-A591-461D-8599-B9ECB56B5C8D}" name="Name" dataDxfId="137"/>
    <tableColumn id="4" xr3:uid="{5CFCB5E2-6930-4D06-9EC2-87AD6E5836A4}" name="Fam. Name" dataDxfId="136"/>
    <tableColumn id="5" xr3:uid="{73159BC4-F262-4004-AC97-5502973C1EC4}" name="Club" dataDxfId="135"/>
    <tableColumn id="6" xr3:uid="{50CCFE15-6FD3-4811-842B-AF2E1B8FDE0A}" name="Nat." dataDxfId="134"/>
    <tableColumn id="9" xr3:uid="{9303E91E-BE54-4887-83C8-E03D9A563A8B}" name="1" dataDxfId="133"/>
    <tableColumn id="27" xr3:uid="{6FB5F248-466D-419A-A868-B5FBEEAB7B00}" name="2" dataDxfId="132"/>
    <tableColumn id="10" xr3:uid="{85E6B108-1723-45CD-AE61-14C176104269}" name="3" dataDxfId="131"/>
    <tableColumn id="8" xr3:uid="{E107BFEC-A775-42D3-B87B-69903869375F}" name="4" dataDxfId="130"/>
    <tableColumn id="11" xr3:uid="{FADD35F4-C197-41F1-9EDA-BA23D68E092E}" name="5" dataDxfId="129"/>
    <tableColumn id="28" xr3:uid="{45F47083-7FDA-4EF7-B3AB-648FC422BB98}" name="6" dataDxfId="128"/>
    <tableColumn id="14" xr3:uid="{F6C4CC32-CC33-419E-B722-92065EB1FCD9}" name="7" dataDxfId="127"/>
    <tableColumn id="29" xr3:uid="{60018CFF-6C8B-420C-B458-BFE52BFD5DD9}" name="8" dataDxfId="126"/>
    <tableColumn id="15" xr3:uid="{6B6EF50D-B3CE-41D7-A71D-B995D135D2DE}" name="9" dataDxfId="125"/>
    <tableColumn id="12" xr3:uid="{4721ECB2-F35B-4930-ACD4-A6629D01933D}" name="10" dataDxfId="124"/>
    <tableColumn id="13" xr3:uid="{033DB986-F00B-41FF-96D3-24871D8FD253}" name="Result" dataDxfId="123">
      <calculatedColumnFormula>SUMPRODUCT(spk1mu18[[#This Row],[1]:[10]]*(spk1mu18[[#This Row],[1]:[10]]&gt;=spk1mu18[[#This Row],[L]]))</calculatedColumnFormula>
    </tableColumn>
    <tableColumn id="44" xr3:uid="{610E6A07-CDED-4608-9582-C799C91EF0AB}" name="L" dataDxfId="122">
      <calculatedColumnFormula>IF(spk1mu18[[#This Row],[Name]]="",0,LARGE(spk1mu18[[#This Row],[1]:[10]],$D$2))</calculatedColumnFormula>
    </tableColumn>
    <tableColumn id="17" xr3:uid="{DCA4955D-27AD-4C8B-B1A4-014BDE70DA74}" name="Prüfung" dataDxfId="121">
      <calculatedColumnFormula>IF(OR((COUNTIFS(spk1mu18[[#This Row],[1]:[10]],"="&amp;spk1mu18[[#This Row],[L]])=10),(COUNTIFS(spk1mu18[[#This Row],[1]:[10]],"="&amp;spk1mu18[[#This Row],[L]])&lt;2)),"OK","Fehler (zu wenig Streicher) [Gleiche Werte jeweils um 0,1 erhöhen]")</calculatedColumnFormula>
    </tableColumn>
  </tableColumns>
  <tableStyleInfo name="TableStyleMedium2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B947F54-0917-4966-AF9D-EACFE4522375}" name="spk1wu18" displayName="spk1wu18" ref="A32:S40" totalsRowShown="0" headerRowDxfId="120" dataDxfId="119" headerRowBorderDxfId="117" tableBorderDxfId="118">
  <sortState xmlns:xlrd2="http://schemas.microsoft.com/office/spreadsheetml/2017/richdata2" ref="A33:S34">
    <sortCondition ref="B32:B40"/>
  </sortState>
  <tableColumns count="19">
    <tableColumn id="1" xr3:uid="{16CEC9CF-9E65-4AA7-9B3F-E608814D8B55}" name="Info" dataDxfId="116"/>
    <tableColumn id="2" xr3:uid="{65652A5C-6119-4E2D-AF1D-38F3D1CA7358}" name="RNK" dataDxfId="115">
      <calculatedColumnFormula>IF(spk1wu18[[#This Row],[Name]]="","",_xlfn.RANK.EQ(spk1wu18[[#This Row],[Result]],spk1wu18[Result],0))</calculatedColumnFormula>
    </tableColumn>
    <tableColumn id="3" xr3:uid="{98C1CF06-C978-4CB6-858C-140DF341EC77}" name="Name" dataDxfId="114"/>
    <tableColumn id="4" xr3:uid="{BDAAB1BB-7995-4716-A619-0B27DB1A2360}" name="Fam. Name" dataDxfId="113"/>
    <tableColumn id="5" xr3:uid="{CA18F40A-49C9-4842-9403-EF4A0EA61ADB}" name="Club" dataDxfId="112"/>
    <tableColumn id="6" xr3:uid="{A20362C3-7625-4142-9913-686C799766AA}" name="Nat." dataDxfId="111"/>
    <tableColumn id="7" xr3:uid="{F1CE498C-8B36-49EA-A57D-4018427F7036}" name="1" dataDxfId="110"/>
    <tableColumn id="8" xr3:uid="{C16320AA-0B12-4583-973B-C00F062C2CCA}" name="2" dataDxfId="109"/>
    <tableColumn id="9" xr3:uid="{7924DF45-F96B-4096-84F2-F2F1C60D254C}" name="3" dataDxfId="108"/>
    <tableColumn id="10" xr3:uid="{FDAE565E-78A3-4A11-A343-F028898A673F}" name="4" dataDxfId="107"/>
    <tableColumn id="11" xr3:uid="{E4F5F211-86A3-4903-AA7B-49CA336F9F30}" name="5" dataDxfId="106"/>
    <tableColumn id="12" xr3:uid="{0A0B8E51-808B-4D9C-AE41-DC30698E5172}" name="6" dataDxfId="105"/>
    <tableColumn id="13" xr3:uid="{1AF3EA6D-8BB3-43CA-97C8-27D3F312E7A1}" name="7" dataDxfId="104"/>
    <tableColumn id="14" xr3:uid="{4FD55BA8-1614-4C7C-83AD-6F583F43301B}" name="8" dataDxfId="103"/>
    <tableColumn id="15" xr3:uid="{C4D19069-46BE-4E2D-B944-81D8E6B7FCEE}" name="9" dataDxfId="102"/>
    <tableColumn id="16" xr3:uid="{F48EE21D-B13E-4A6D-8876-87052D2D12DF}" name="10" dataDxfId="101"/>
    <tableColumn id="19" xr3:uid="{2FDAAFCE-F008-4E34-9C22-8F17D6DAAD90}" name="Result" dataDxfId="100">
      <calculatedColumnFormula>SUMPRODUCT(spk1wu18[[#This Row],[1]:[10]]*(spk1wu18[[#This Row],[1]:[10]]&gt;=spk1wu18[[#This Row],[L]]))</calculatedColumnFormula>
    </tableColumn>
    <tableColumn id="20" xr3:uid="{3581DCDF-C580-4957-9D71-3BED458761D1}" name="L" dataDxfId="99">
      <calculatedColumnFormula>IF(spk1wu18[[#This Row],[Name]]="",0,LARGE(spk1wu18[[#This Row],[1]:[10]],$D$2))</calculatedColumnFormula>
    </tableColumn>
    <tableColumn id="21" xr3:uid="{E870402B-78C3-4DC2-9932-FD6212C3084F}" name="Prüfung" dataDxfId="98">
      <calculatedColumnFormula>IF(OR((COUNTIFS(spk1wu18[[#This Row],[1]:[10]],"="&amp;spk1wu18[[#This Row],[L]])=10),(COUNTIFS(spk1wu18[[#This Row],[1]:[10]],"="&amp;spk1wu18[[#This Row],[L]])&lt;2)),"OK","Fehler (zu wenig Streicher) [Gleiche Werte jeweils um 0,1 erhöhen]")</calculatedColumnFormula>
    </tableColumn>
  </tableColumns>
  <tableStyleInfo name="TableStyleMedium2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4851CF2-C759-4415-BA9F-24F6F197F364}" name="drk1mu18" displayName="drk1mu18" ref="A7:O25" totalsRowShown="0" headerRowDxfId="91" dataDxfId="90">
  <sortState xmlns:xlrd2="http://schemas.microsoft.com/office/spreadsheetml/2017/richdata2" ref="A8:O16">
    <sortCondition ref="B7:B25"/>
  </sortState>
  <tableColumns count="15">
    <tableColumn id="1" xr3:uid="{41EC5830-6A09-4CEF-8373-1E2C4C425316}" name="Info" dataDxfId="89"/>
    <tableColumn id="2" xr3:uid="{36F2D047-7FC0-4E85-9298-701FD454D8E2}" name="RNK" dataDxfId="88">
      <calculatedColumnFormula>IF(drk1mu18[[#This Row],[Name]]="","",_xlfn.RANK.EQ(drk1mu18[[#This Row],[Result]],_xlnm.Criteria,0))</calculatedColumnFormula>
    </tableColumn>
    <tableColumn id="3" xr3:uid="{79F7DD17-0CCE-43AF-AAEB-53DC898718DD}" name="Name" dataDxfId="87"/>
    <tableColumn id="4" xr3:uid="{6090CF09-702F-4C30-BCBC-2C24A5406295}" name="Fam. Name" dataDxfId="86"/>
    <tableColumn id="5" xr3:uid="{836E86E9-4989-4704-A5DE-84A1B87FFB7B}" name="Club" dataDxfId="85"/>
    <tableColumn id="6" xr3:uid="{39B60C38-8392-48FA-99B2-5AB8F82ABF3A}" name="Nat." dataDxfId="84"/>
    <tableColumn id="27" xr3:uid="{7664A3CE-6CB3-4DF6-920A-AF46FFB52CD0}" name="1" dataDxfId="83"/>
    <tableColumn id="28" xr3:uid="{3603D0F0-3DE2-4428-86D6-5A99B091149F}" name="2" dataDxfId="82"/>
    <tableColumn id="29" xr3:uid="{93BD34F4-AA23-4ACF-8C1E-85D12DDA22BC}" name="3" dataDxfId="81"/>
    <tableColumn id="16" xr3:uid="{E0FFB01A-E2D4-437E-A80E-1EBAE3E038BD}" name="4" dataDxfId="80"/>
    <tableColumn id="30" xr3:uid="{093AB65B-EC94-4719-856D-5F88E4100149}" name="5" dataDxfId="79"/>
    <tableColumn id="12" xr3:uid="{4524EF2F-F123-4B77-99EA-4D5A18D2BDDC}" name="6" dataDxfId="78"/>
    <tableColumn id="13" xr3:uid="{D339628E-2A38-4D41-8E44-EF1FBA04AB78}" name="Result" dataDxfId="77">
      <calculatedColumnFormula>SUMPRODUCT(drk1mu18[[#This Row],[1]:[6]]*(drk1mu18[[#This Row],[1]:[6]]&gt;=drk1mu18[[#This Row],[L]]))</calculatedColumnFormula>
    </tableColumn>
    <tableColumn id="44" xr3:uid="{ECD95222-1F43-439F-A059-898CC6179EB7}" name="L" dataDxfId="76">
      <calculatedColumnFormula>IF(drk1mu18[[#This Row],[Name]]="",0,LARGE(drk1mu18[[#This Row],[1]:[6]],$D$2))</calculatedColumnFormula>
    </tableColumn>
    <tableColumn id="7" xr3:uid="{D922CE3A-10C5-4A14-B991-E58CE16E6BDD}" name="Prüfung" dataDxfId="75">
      <calculatedColumnFormula>IF(OR((COUNTIFS(drk1mu18[[#This Row],[1]:[6]],"="&amp;drk1mu18[[#This Row],[L]])=6),(COUNTIFS(drk1mu18[[#This Row],[1]:[6]],"="&amp;drk1mu18[[#This Row],[L]])&lt;2)),"OK","Fehler (zu wenig Streicher) [Gleiche Werte jeweils um 0,1 erhöhen]")</calculatedColumnFormula>
    </tableColumn>
  </tableColumns>
  <tableStyleInfo name="TableStyleMedium2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445364A-200B-48C8-8C40-4F25122F2B87}" name="drk1wu18" displayName="drk1wu18" ref="A30:O48" totalsRowShown="0" headerRowDxfId="74">
  <sortState xmlns:xlrd2="http://schemas.microsoft.com/office/spreadsheetml/2017/richdata2" ref="A31:N48">
    <sortCondition ref="B8:B25"/>
  </sortState>
  <tableColumns count="15">
    <tableColumn id="1" xr3:uid="{BBBC9B05-4831-42D9-B0E8-3B3D91209042}" name="Info" dataDxfId="73"/>
    <tableColumn id="2" xr3:uid="{D2C9D07A-B4A7-44F0-9EE6-3E53E4407200}" name="RNK" dataDxfId="72">
      <calculatedColumnFormula>IF(drk1wu18[[#This Row],[Name]]="","",_xlfn.RANK.EQ(drk1wu18[[#This Row],[Result]],drk1wu18[Result],0))</calculatedColumnFormula>
    </tableColumn>
    <tableColumn id="3" xr3:uid="{BEC76800-1B66-4207-A1C5-F0CBABBCDC3E}" name="Name" dataDxfId="71"/>
    <tableColumn id="4" xr3:uid="{B9DF27EC-DE75-4566-9F6A-3B0E7D8030E9}" name="Fam. Name" dataDxfId="70"/>
    <tableColumn id="5" xr3:uid="{3B17E9B5-CCCB-4A9B-BB42-B98D1CA841A9}" name="Club" dataDxfId="69"/>
    <tableColumn id="6" xr3:uid="{71C059A7-4149-4CD5-A4B2-FB70100ED2C7}" name="Nat." dataDxfId="68"/>
    <tableColumn id="27" xr3:uid="{37AC811D-419F-4810-BF8F-6189052358ED}" name="1" dataDxfId="67"/>
    <tableColumn id="28" xr3:uid="{4FEE28EC-F006-4648-A5C6-A3CBA496269E}" name="2" dataDxfId="66"/>
    <tableColumn id="29" xr3:uid="{2F6BCF8B-5AD0-4E65-877C-31A61DCF4CEC}" name="3" dataDxfId="65"/>
    <tableColumn id="16" xr3:uid="{F0303610-EEF9-46D2-AF69-B1A573654863}" name="4" dataDxfId="64"/>
    <tableColumn id="30" xr3:uid="{FC7F270B-79B7-4223-A7F9-B73DDF23BA59}" name="5" dataDxfId="63"/>
    <tableColumn id="12" xr3:uid="{22647A40-014F-4D1B-ADE3-378E480CD9B7}" name="6" dataDxfId="62"/>
    <tableColumn id="13" xr3:uid="{B1BD9225-9822-4F58-B54E-B2A63421C1C1}" name="Result" dataDxfId="61">
      <calculatedColumnFormula>SUMPRODUCT(drk1wu18[[#This Row],[1]:[6]]*(drk1wu18[[#This Row],[1]:[6]]&gt;=drk1wu18[[#This Row],[L]]))</calculatedColumnFormula>
    </tableColumn>
    <tableColumn id="44" xr3:uid="{3367FFFB-908C-48FF-B0B1-CA36BAC39B63}" name="L" dataDxfId="60">
      <calculatedColumnFormula>IF(drk1wu18[[#This Row],[Name]]="",0,LARGE(drk1wu18[[#This Row],[1]:[6]],$D$2))</calculatedColumnFormula>
    </tableColumn>
    <tableColumn id="7" xr3:uid="{4E6E1EA6-1DA7-4986-83C2-06B680016798}" name="Prüfung" dataDxfId="59">
      <calculatedColumnFormula>IF(OR((COUNTIFS(drk1wu18[[#This Row],[1]:[6]],"="&amp;drk1wu18[[#This Row],[L]])=6),(COUNTIFS(drk1wu18[[#This Row],[1]:[6]],"="&amp;drk1wu18[[#This Row],[L]])&lt;2)),"OK","Fehler (zu wenig Streicher) [Gleiche Werte jeweils um 0,1 erhöhen]")</calculatedColumnFormula>
    </tableColumn>
  </tableColumns>
  <tableStyleInfo name="TableStyleMedium2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3C13360-D262-47F8-AD18-1E8F08670D4D}" name="slk1mu18" displayName="slk1mu18" ref="A7:Z36" totalsRowShown="0" headerRowDxfId="55" dataDxfId="54">
  <sortState xmlns:xlrd2="http://schemas.microsoft.com/office/spreadsheetml/2017/richdata2" ref="A8:Z36">
    <sortCondition ref="B8:B36"/>
  </sortState>
  <tableColumns count="26">
    <tableColumn id="1" xr3:uid="{7AEDE1D7-115E-4020-8D33-3255CB04B798}" name="Info" dataDxfId="53"/>
    <tableColumn id="2" xr3:uid="{5D29ED32-090A-4405-8368-EB41853DCC68}" name="RNK" dataDxfId="52">
      <calculatedColumnFormula>IF(slk1mu18[[#This Row],[Name]]="","",_xlfn.RANK.EQ(slk1mu18[[#This Row],[Result]],_xlnm.Criteria,0))</calculatedColumnFormula>
    </tableColumn>
    <tableColumn id="3" xr3:uid="{E5C72C34-9767-4C7A-8CE7-231FE30E299A}" name="Name" dataDxfId="51"/>
    <tableColumn id="4" xr3:uid="{35EC1748-2144-4D9E-99FB-9D25EA144207}" name="Fam. Name" dataDxfId="50"/>
    <tableColumn id="5" xr3:uid="{0F6EE092-12EF-4E62-88D2-C1911459B3C2}" name="Club" dataDxfId="49"/>
    <tableColumn id="6" xr3:uid="{8CB8EF50-F9DE-486A-B709-0E7CE7E4A7B5}" name="Nat." dataDxfId="48"/>
    <tableColumn id="27" xr3:uid="{3E7ADF17-324F-425A-A3AF-1AC34F98F853}" name="1" dataDxfId="47"/>
    <tableColumn id="28" xr3:uid="{2E9A7C7D-AC6A-4A86-A71C-79ECABA44242}" name="2" dataDxfId="46"/>
    <tableColumn id="9" xr3:uid="{5A2F70FB-0975-4558-97C2-FB97D1F2E684}" name="3" dataDxfId="45"/>
    <tableColumn id="10" xr3:uid="{1B4A0496-AFC2-4BAE-AE08-A11E1B8F982C}" name="4" dataDxfId="44"/>
    <tableColumn id="25" xr3:uid="{50404B67-4D0F-48F5-B71D-5A9AC948CFDF}" name="5" dataDxfId="43"/>
    <tableColumn id="7" xr3:uid="{4E8F53AA-9C8B-4856-AE3A-9668E6C292E9}" name="6" dataDxfId="42"/>
    <tableColumn id="17" xr3:uid="{8DFC5B50-2B78-455D-99D3-D76E8E42276C}" name="7" dataDxfId="41"/>
    <tableColumn id="11" xr3:uid="{CB0496A1-4F58-4CEA-97D3-7879A38032B6}" name="8" dataDxfId="40"/>
    <tableColumn id="14" xr3:uid="{630C56F4-8C7B-4F8B-9BA3-00A8F3738574}" name="9" dataDxfId="39"/>
    <tableColumn id="29" xr3:uid="{ED8E2447-5426-4532-9360-A2FE2FE6DA4C}" name="10" dataDxfId="38"/>
    <tableColumn id="16" xr3:uid="{EEF80ABF-64A9-4E04-BBCA-E77729D49FCD}" name="11" dataDxfId="37"/>
    <tableColumn id="36" xr3:uid="{0682B7B4-11BF-49FF-8C6C-3E06D2A894AC}" name="12" dataDxfId="36"/>
    <tableColumn id="35" xr3:uid="{A98CDE4F-7754-4FC0-A469-56F3268A154A}" name="13" dataDxfId="35"/>
    <tableColumn id="34" xr3:uid="{26A79875-A8E3-4B30-A097-840394D7FE5E}" name="14" dataDxfId="34"/>
    <tableColumn id="8" xr3:uid="{7630B13C-4AD9-495C-BFA4-A4B84E659F34}" name="15" dataDxfId="33"/>
    <tableColumn id="40" xr3:uid="{D0440961-E271-44F7-B7D6-D641D3E9B434}" name="16" dataDxfId="32"/>
    <tableColumn id="12" xr3:uid="{B9517E36-5C1D-422A-A099-6897C666D4D4}" name="17" dataDxfId="31"/>
    <tableColumn id="13" xr3:uid="{E8D68259-D693-48BB-A15D-F352000135D3}" name="Result" dataDxfId="30">
      <calculatedColumnFormula>SUMPRODUCT(slk1mu18[[#This Row],[1]:[17]]*(slk1mu18[[#This Row],[1]:[17]]&gt;=slk1mu18[[#This Row],[L]]))</calculatedColumnFormula>
    </tableColumn>
    <tableColumn id="44" xr3:uid="{36452027-9698-4FFD-9763-7C20ABC94D24}" name="L" dataDxfId="29">
      <calculatedColumnFormula>IF(slk1mu18[[#This Row],[Name]]="",0,LARGE(slk1mu18[[#This Row],[1]:[17]],$D$2))</calculatedColumnFormula>
    </tableColumn>
    <tableColumn id="15" xr3:uid="{1DB70AD7-E35E-4E07-8719-C2FAC703A9DD}" name="Prüfung" dataDxfId="28">
      <calculatedColumnFormula>IF(OR((COUNTIFS(slk1mu18[[#This Row],[1]:[17]],"="&amp;slk1mu18[[#This Row],[L]])=16),(COUNTIFS(slk1mu18[[#This Row],[1]:[17]],"="&amp;slk1mu18[[#This Row],[L]])&lt;2)),"OK","Fehler (zu wenig Streicher) [Gleiche Werte jeweils um 0,1 erhöhen]")</calculatedColumnFormula>
    </tableColumn>
  </tableColumns>
  <tableStyleInfo name="TableStyleMedium2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0405EED-00C3-4A34-97CB-2A81DE079314}" name="slk1wu182022" displayName="slk1wu182022" ref="A42:Z55" totalsRowShown="0" headerRowDxfId="27" dataDxfId="26">
  <sortState xmlns:xlrd2="http://schemas.microsoft.com/office/spreadsheetml/2017/richdata2" ref="A43:Y55">
    <sortCondition ref="B8:B36"/>
  </sortState>
  <tableColumns count="26">
    <tableColumn id="1" xr3:uid="{9F4A2943-1729-45E0-AA20-67CA6B43657D}" name="Info" dataDxfId="25"/>
    <tableColumn id="2" xr3:uid="{E73C5F3F-50CA-44BB-9822-2C96473FCA2E}" name="RNK" dataDxfId="24">
      <calculatedColumnFormula>IF(slk1wu182022[[#This Row],[Name]]="","",_xlfn.RANK.EQ(slk1wu182022[[#This Row],[Result]],slk1wu182022[Result],0))</calculatedColumnFormula>
    </tableColumn>
    <tableColumn id="3" xr3:uid="{AEC3D90F-2D71-4BF0-A0D1-C189EA9FFCE7}" name="Name" dataDxfId="23"/>
    <tableColumn id="4" xr3:uid="{DF702BDF-9466-4217-B56B-6CE2B98E7E2B}" name="Fam. Name" dataDxfId="22"/>
    <tableColumn id="5" xr3:uid="{E197C60D-714E-4FF7-A860-94B5FBAB76D9}" name="Club" dataDxfId="21"/>
    <tableColumn id="6" xr3:uid="{67290EAA-A243-4366-80A8-CEBBF68932B0}" name="Nat." dataDxfId="20"/>
    <tableColumn id="27" xr3:uid="{1E994947-0497-45A2-B5A5-058EFAD7FAB7}" name="1" dataDxfId="19"/>
    <tableColumn id="28" xr3:uid="{2483FAD8-5625-4F46-91AB-BD5576D29997}" name="2" dataDxfId="18"/>
    <tableColumn id="9" xr3:uid="{AE2CD3B3-DAAB-4209-86FE-50D9C194BFBD}" name="3" dataDxfId="17"/>
    <tableColumn id="10" xr3:uid="{A99BFD07-4660-4627-B226-E0C6F0B009D6}" name="4" dataDxfId="16"/>
    <tableColumn id="25" xr3:uid="{6DF8950D-65EA-4A72-BB35-3A672219175E}" name="5" dataDxfId="15"/>
    <tableColumn id="7" xr3:uid="{B7BD9813-6C8A-4703-BE59-41D171F993F2}" name="6" dataDxfId="14"/>
    <tableColumn id="17" xr3:uid="{E565A873-5679-4823-BBBD-7EBE2DC91023}" name="7" dataDxfId="13"/>
    <tableColumn id="11" xr3:uid="{88B1F660-E6A4-4AE2-BFD1-82BD62BDA42B}" name="8" dataDxfId="12"/>
    <tableColumn id="14" xr3:uid="{C8A1A361-8350-48AD-AB79-9386F5C35B4B}" name="9" dataDxfId="11"/>
    <tableColumn id="29" xr3:uid="{56AF38C4-3225-474A-AAD0-34357FE3E40A}" name="10" dataDxfId="10"/>
    <tableColumn id="16" xr3:uid="{4C6B2ADA-BB97-4282-BDF9-8827949011A7}" name="11" dataDxfId="9"/>
    <tableColumn id="36" xr3:uid="{F24EC0F3-6AE4-47F8-996A-E458B51FBC6D}" name="12" dataDxfId="8"/>
    <tableColumn id="35" xr3:uid="{0C9389EC-F321-47EA-A008-6DEC9438449F}" name="13" dataDxfId="7"/>
    <tableColumn id="34" xr3:uid="{A2989007-8552-4827-A19D-E451CC9C2DCA}" name="14" dataDxfId="6"/>
    <tableColumn id="8" xr3:uid="{57CCD7A0-F168-4F9B-A809-21CA776FFB26}" name="15" dataDxfId="5"/>
    <tableColumn id="40" xr3:uid="{84B274C3-624B-40F4-B135-0819ECF88F6C}" name="16" dataDxfId="4"/>
    <tableColumn id="12" xr3:uid="{D69E89D6-A1AE-4662-9A09-4370678D8D25}" name="17" dataDxfId="3"/>
    <tableColumn id="13" xr3:uid="{15B9B254-454F-4CB5-B4CD-D2814F77E43B}" name="Result" dataDxfId="2">
      <calculatedColumnFormula>SUMPRODUCT(slk1wu182022[[#This Row],[1]:[17]]*(slk1wu182022[[#This Row],[1]:[17]]&gt;=slk1wu182022[[#This Row],[L]]))</calculatedColumnFormula>
    </tableColumn>
    <tableColumn id="44" xr3:uid="{90CCBF3A-82C4-4151-83D2-700095398594}" name="L" dataDxfId="1">
      <calculatedColumnFormula>IF(slk1wu182022[[#This Row],[Name]]="",0,LARGE(slk1wu182022[[#This Row],[1]:[17]],$D$2))</calculatedColumnFormula>
    </tableColumn>
    <tableColumn id="15" xr3:uid="{095493E3-BC97-4D1D-9F52-1A15E348011B}" name="Prüfung" dataDxfId="0">
      <calculatedColumnFormula>IF(OR((COUNTIFS(slk1wu182022[[#This Row],[1]:[17]],"="&amp;slk1wu182022[[#This Row],[L]])=16),(COUNTIFS(slk1wu182022[[#This Row],[1]:[17]],"="&amp;slk1wu182022[[#This Row],[L]])&lt;2)),"OK","Fehler (zu wenig Streicher) [Gleiche Werte jeweils um 0,1 erhöhen]")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1AE48-9436-454D-A6BA-0A1EFFF56D6F}">
  <sheetPr codeName="Tabelle1"/>
  <dimension ref="A1:AT61"/>
  <sheetViews>
    <sheetView topLeftCell="A5" zoomScaleNormal="100" workbookViewId="0">
      <selection activeCell="D75" sqref="D75"/>
    </sheetView>
  </sheetViews>
  <sheetFormatPr defaultColWidth="11.42578125" defaultRowHeight="11.25"/>
  <cols>
    <col min="1" max="2" width="5.7109375" style="2" customWidth="1"/>
    <col min="3" max="4" width="15.7109375" style="1" customWidth="1"/>
    <col min="5" max="5" width="15.7109375" style="20" customWidth="1"/>
    <col min="6" max="6" width="4.7109375" style="2" customWidth="1"/>
    <col min="7" max="14" width="3.85546875" style="2" customWidth="1"/>
    <col min="15" max="15" width="5.7109375" style="2" customWidth="1"/>
    <col min="16" max="16" width="3.85546875" style="2" customWidth="1"/>
    <col min="17" max="17" width="5.7109375" style="2" customWidth="1"/>
    <col min="18" max="18" width="3.85546875" style="1" customWidth="1"/>
    <col min="19" max="19" width="7.7109375" style="1" customWidth="1"/>
    <col min="20" max="20" width="3.7109375" style="1" customWidth="1"/>
    <col min="21" max="21" width="5.7109375" style="17" customWidth="1"/>
    <col min="22" max="25" width="3.140625" style="1" customWidth="1"/>
    <col min="26" max="27" width="3.28515625" style="1" customWidth="1"/>
    <col min="28" max="28" width="1.85546875" style="1" bestFit="1" customWidth="1"/>
    <col min="29" max="29" width="3" style="1" customWidth="1"/>
    <col min="30" max="44" width="3.28515625" style="1" customWidth="1"/>
    <col min="45" max="45" width="6.42578125" style="4" customWidth="1"/>
    <col min="46" max="46" width="3.28515625" style="4" customWidth="1"/>
    <col min="47" max="47" width="11.42578125" style="1"/>
    <col min="48" max="48" width="8.7109375" style="1" customWidth="1"/>
    <col min="49" max="49" width="6.85546875" style="1" customWidth="1"/>
    <col min="50" max="50" width="8.42578125" style="1" customWidth="1"/>
    <col min="51" max="16384" width="11.42578125" style="1"/>
  </cols>
  <sheetData>
    <row r="1" spans="1:46" ht="60" customHeight="1" thickBot="1">
      <c r="A1" s="189" t="s">
        <v>0</v>
      </c>
      <c r="B1" s="190"/>
      <c r="C1" s="190"/>
      <c r="D1" s="187" t="s">
        <v>1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8"/>
      <c r="P1" s="109"/>
      <c r="Q1" s="110"/>
      <c r="R1" s="110"/>
      <c r="S1" s="110"/>
      <c r="T1" s="22"/>
      <c r="U1" s="90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191"/>
      <c r="AQ1" s="191"/>
      <c r="AR1" s="191"/>
    </row>
    <row r="2" spans="1:46" s="3" customFormat="1" ht="30" customHeight="1">
      <c r="A2" s="192" t="s">
        <v>2</v>
      </c>
      <c r="B2" s="193"/>
      <c r="C2" s="193"/>
      <c r="D2" s="196">
        <v>6</v>
      </c>
      <c r="E2" s="196"/>
      <c r="F2" s="197"/>
      <c r="G2" s="200" t="s">
        <v>3</v>
      </c>
      <c r="H2" s="201"/>
      <c r="I2" s="202" t="s">
        <v>3</v>
      </c>
      <c r="J2" s="203"/>
      <c r="K2" s="202" t="s">
        <v>3</v>
      </c>
      <c r="L2" s="203"/>
      <c r="M2" s="204" t="s">
        <v>3</v>
      </c>
      <c r="N2" s="205"/>
      <c r="O2" s="38"/>
      <c r="Q2" s="89"/>
    </row>
    <row r="3" spans="1:46" s="3" customFormat="1" ht="75" customHeight="1">
      <c r="A3" s="194"/>
      <c r="B3" s="195"/>
      <c r="C3" s="195"/>
      <c r="D3" s="198"/>
      <c r="E3" s="198"/>
      <c r="F3" s="199"/>
      <c r="G3" s="206"/>
      <c r="H3" s="207"/>
      <c r="I3" s="208"/>
      <c r="J3" s="209"/>
      <c r="K3" s="208"/>
      <c r="L3" s="209"/>
      <c r="M3" s="210" t="s">
        <v>4</v>
      </c>
      <c r="N3" s="211"/>
      <c r="O3" s="39"/>
      <c r="Q3" s="89"/>
    </row>
    <row r="4" spans="1:46" s="3" customFormat="1" ht="39.950000000000003" customHeight="1">
      <c r="A4" s="194"/>
      <c r="B4" s="195"/>
      <c r="C4" s="195"/>
      <c r="D4" s="198"/>
      <c r="E4" s="198"/>
      <c r="F4" s="199"/>
      <c r="G4" s="206" t="s">
        <v>5</v>
      </c>
      <c r="H4" s="207"/>
      <c r="I4" s="212" t="s">
        <v>6</v>
      </c>
      <c r="J4" s="209"/>
      <c r="K4" s="212" t="s">
        <v>7</v>
      </c>
      <c r="L4" s="213"/>
      <c r="M4" s="184" t="s">
        <v>8</v>
      </c>
      <c r="N4" s="185"/>
      <c r="O4" s="39"/>
      <c r="Q4" s="89"/>
    </row>
    <row r="5" spans="1:46" s="3" customFormat="1" ht="90" customHeight="1">
      <c r="A5" s="194"/>
      <c r="B5" s="195"/>
      <c r="C5" s="195"/>
      <c r="D5" s="198"/>
      <c r="E5" s="198"/>
      <c r="F5" s="199"/>
      <c r="G5" s="76" t="s">
        <v>9</v>
      </c>
      <c r="H5" s="77" t="s">
        <v>10</v>
      </c>
      <c r="I5" s="69" t="s">
        <v>11</v>
      </c>
      <c r="J5" s="70" t="s">
        <v>12</v>
      </c>
      <c r="K5" s="69" t="s">
        <v>13</v>
      </c>
      <c r="L5" s="70" t="s">
        <v>14</v>
      </c>
      <c r="M5" s="80" t="s">
        <v>15</v>
      </c>
      <c r="N5" s="81" t="s">
        <v>16</v>
      </c>
      <c r="O5" s="39"/>
      <c r="P5" s="186" t="s">
        <v>17</v>
      </c>
      <c r="Q5" s="89"/>
    </row>
    <row r="6" spans="1:46" s="3" customFormat="1" ht="24.95" customHeight="1" thickBot="1">
      <c r="A6" s="176" t="s">
        <v>18</v>
      </c>
      <c r="B6" s="177"/>
      <c r="C6" s="177"/>
      <c r="D6" s="177"/>
      <c r="E6" s="177"/>
      <c r="F6" s="177"/>
      <c r="G6" s="178"/>
      <c r="H6" s="179"/>
      <c r="I6" s="180"/>
      <c r="J6" s="181"/>
      <c r="K6" s="180"/>
      <c r="L6" s="181"/>
      <c r="M6" s="182"/>
      <c r="N6" s="183"/>
      <c r="O6" s="46"/>
      <c r="P6" s="186"/>
      <c r="Q6" s="89"/>
    </row>
    <row r="7" spans="1:46" s="4" customFormat="1" ht="11.25" customHeight="1" thickBot="1">
      <c r="A7" s="40" t="s">
        <v>19</v>
      </c>
      <c r="B7" s="41" t="s">
        <v>20</v>
      </c>
      <c r="C7" s="41" t="s">
        <v>21</v>
      </c>
      <c r="D7" s="41" t="s">
        <v>22</v>
      </c>
      <c r="E7" s="41" t="s">
        <v>23</v>
      </c>
      <c r="F7" s="41" t="s">
        <v>24</v>
      </c>
      <c r="G7" s="41" t="s">
        <v>25</v>
      </c>
      <c r="H7" s="41" t="s">
        <v>26</v>
      </c>
      <c r="I7" s="41" t="s">
        <v>27</v>
      </c>
      <c r="J7" s="41" t="s">
        <v>28</v>
      </c>
      <c r="K7" s="41" t="s">
        <v>29</v>
      </c>
      <c r="L7" s="41" t="s">
        <v>30</v>
      </c>
      <c r="M7" s="41" t="s">
        <v>31</v>
      </c>
      <c r="N7" s="41" t="s">
        <v>32</v>
      </c>
      <c r="O7" s="43" t="s">
        <v>33</v>
      </c>
      <c r="P7" s="4" t="s">
        <v>34</v>
      </c>
      <c r="Q7" s="17" t="s">
        <v>35</v>
      </c>
      <c r="R7" s="17"/>
      <c r="S7" s="17"/>
    </row>
    <row r="8" spans="1:46" ht="11.25" customHeight="1">
      <c r="A8" s="101"/>
      <c r="B8" s="102">
        <f>IF(spk1mk[[#This Row],[Name]]="","",_xlfn.RANK.EQ(spk1mk[[#This Row],[Result]],_xlnm.Criteria,0))</f>
        <v>1</v>
      </c>
      <c r="C8" s="103" t="s">
        <v>36</v>
      </c>
      <c r="D8" s="103" t="s">
        <v>37</v>
      </c>
      <c r="E8" s="104" t="s">
        <v>38</v>
      </c>
      <c r="F8" s="102" t="s">
        <v>39</v>
      </c>
      <c r="G8" s="105">
        <v>0</v>
      </c>
      <c r="H8" s="105">
        <v>1E-3</v>
      </c>
      <c r="I8" s="105">
        <v>2E-3</v>
      </c>
      <c r="J8" s="105">
        <v>3.0000000000000001E-3</v>
      </c>
      <c r="K8" s="105">
        <v>4.0000000000000001E-3</v>
      </c>
      <c r="L8" s="105">
        <v>5.0000000000000001E-3</v>
      </c>
      <c r="M8" s="105">
        <v>25</v>
      </c>
      <c r="N8" s="105">
        <v>25</v>
      </c>
      <c r="O8" s="33">
        <f>SUMPRODUCT(spk1mk[[#This Row],[1]:[8]]*(spk1mk[[#This Row],[1]:[8]]&gt;=spk1mk[[#This Row],[L]]))</f>
        <v>50.013999999999996</v>
      </c>
      <c r="P8" s="98">
        <f>IF(spk1mk[[#This Row],[Name]]="",0,LARGE(spk1mk[[#This Row],[1]:[8]],$D$2))</f>
        <v>2E-3</v>
      </c>
      <c r="Q8" s="92" t="str">
        <f>IF(OR((COUNTIFS(spk1mk[[#This Row],[1]:[8]],"="&amp;spk1mk[[#This Row],[L]])=8),(COUNTIFS(spk1mk[[#This Row],[1]:[8]],"="&amp;spk1mk[[#This Row],[L]])&lt;2)),"OK","Fehler (zu wenig Streicher) [Gleiche Werte jeweils um 0,1 erhöhen]")</f>
        <v>OK</v>
      </c>
      <c r="R8" s="6"/>
      <c r="S8" s="2"/>
      <c r="U8" s="1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S8" s="1"/>
      <c r="AT8" s="1"/>
    </row>
    <row r="9" spans="1:46" ht="11.25" hidden="1" customHeight="1">
      <c r="A9" s="32"/>
      <c r="B9" s="20" t="str">
        <f>IF(spk1mk[[#This Row],[Name]]="","",_xlfn.RANK.EQ(spk1mk[[#This Row],[Result]],_xlnm.Criteria,0))</f>
        <v/>
      </c>
      <c r="E9" s="2"/>
      <c r="F9" s="20"/>
      <c r="G9" s="5">
        <v>0</v>
      </c>
      <c r="H9" s="5">
        <v>1E-3</v>
      </c>
      <c r="I9" s="5">
        <v>2E-3</v>
      </c>
      <c r="J9" s="5">
        <v>3.0000000000000001E-3</v>
      </c>
      <c r="K9" s="5">
        <v>4.0000000000000001E-3</v>
      </c>
      <c r="L9" s="5">
        <v>5.0000000000000001E-3</v>
      </c>
      <c r="M9" s="5">
        <v>6.0000000000000001E-3</v>
      </c>
      <c r="N9" s="5">
        <v>7.0000000000000001E-3</v>
      </c>
      <c r="O9" s="33">
        <f>SUMPRODUCT(spk1mk[[#This Row],[1]:[8]]*(spk1mk[[#This Row],[1]:[8]]&gt;=spk1mk[[#This Row],[L]]))</f>
        <v>2.7999999999999997E-2</v>
      </c>
      <c r="P9" s="96">
        <f>IF(spk1mk[[#This Row],[Name]]="",0,LARGE(spk1mk[[#This Row],[1]:[8]],$D$2))</f>
        <v>0</v>
      </c>
      <c r="Q9" s="91" t="str">
        <f>IF(OR((COUNTIFS(spk1mk[[#This Row],[1]:[8]],"="&amp;spk1mk[[#This Row],[L]])=8),(COUNTIFS(spk1mk[[#This Row],[1]:[8]],"="&amp;spk1mk[[#This Row],[L]])&lt;2)),"OK","Fehler (zu wenig Streicher) [Gleiche Werte jeweils um 0,1 erhöhen]")</f>
        <v>OK</v>
      </c>
      <c r="R9" s="6"/>
      <c r="S9" s="2"/>
      <c r="U9" s="6"/>
      <c r="AS9" s="1"/>
      <c r="AT9" s="1"/>
    </row>
    <row r="10" spans="1:46" ht="11.25" hidden="1" customHeight="1">
      <c r="A10" s="32"/>
      <c r="B10" s="20" t="str">
        <f>IF(spk1mk[[#This Row],[Name]]="","",_xlfn.RANK.EQ(spk1mk[[#This Row],[Result]],_xlnm.Criteria,0))</f>
        <v/>
      </c>
      <c r="E10" s="2"/>
      <c r="F10" s="20"/>
      <c r="G10" s="5">
        <v>0</v>
      </c>
      <c r="H10" s="5">
        <v>1E-3</v>
      </c>
      <c r="I10" s="5">
        <v>2E-3</v>
      </c>
      <c r="J10" s="5">
        <v>3.0000000000000001E-3</v>
      </c>
      <c r="K10" s="5">
        <v>4.0000000000000001E-3</v>
      </c>
      <c r="L10" s="5">
        <v>5.0000000000000001E-3</v>
      </c>
      <c r="M10" s="5">
        <v>6.0000000000000001E-3</v>
      </c>
      <c r="N10" s="5">
        <v>7.0000000000000001E-3</v>
      </c>
      <c r="O10" s="33">
        <f>SUMPRODUCT(spk1mk[[#This Row],[1]:[8]]*(spk1mk[[#This Row],[1]:[8]]&gt;=spk1mk[[#This Row],[L]]))</f>
        <v>2.7999999999999997E-2</v>
      </c>
      <c r="P10" s="96">
        <f>IF(spk1mk[[#This Row],[Name]]="",0,LARGE(spk1mk[[#This Row],[1]:[8]],$D$2))</f>
        <v>0</v>
      </c>
      <c r="Q10" s="91" t="str">
        <f>IF(OR((COUNTIFS(spk1mk[[#This Row],[1]:[8]],"="&amp;spk1mk[[#This Row],[L]])=8),(COUNTIFS(spk1mk[[#This Row],[1]:[8]],"="&amp;spk1mk[[#This Row],[L]])&lt;2)),"OK","Fehler (zu wenig Streicher) [Gleiche Werte jeweils um 0,1 erhöhen]")</f>
        <v>OK</v>
      </c>
      <c r="R10" s="6"/>
      <c r="S10" s="2"/>
      <c r="U10" s="1"/>
      <c r="AS10" s="1"/>
      <c r="AT10" s="1"/>
    </row>
    <row r="11" spans="1:46" ht="11.25" hidden="1" customHeight="1">
      <c r="A11" s="32"/>
      <c r="B11" s="20" t="str">
        <f>IF(spk1mk[[#This Row],[Name]]="","",_xlfn.RANK.EQ(spk1mk[[#This Row],[Result]],_xlnm.Criteria,0))</f>
        <v/>
      </c>
      <c r="E11" s="2"/>
      <c r="F11" s="20"/>
      <c r="G11" s="5">
        <v>0</v>
      </c>
      <c r="H11" s="5">
        <v>1E-3</v>
      </c>
      <c r="I11" s="5">
        <v>2E-3</v>
      </c>
      <c r="J11" s="5">
        <v>3.0000000000000001E-3</v>
      </c>
      <c r="K11" s="5">
        <v>4.0000000000000001E-3</v>
      </c>
      <c r="L11" s="5">
        <v>5.0000000000000001E-3</v>
      </c>
      <c r="M11" s="5">
        <v>6.0000000000000001E-3</v>
      </c>
      <c r="N11" s="5">
        <v>7.0000000000000001E-3</v>
      </c>
      <c r="O11" s="33">
        <f>SUMPRODUCT(spk1mk[[#This Row],[1]:[8]]*(spk1mk[[#This Row],[1]:[8]]&gt;=spk1mk[[#This Row],[L]]))</f>
        <v>2.7999999999999997E-2</v>
      </c>
      <c r="P11" s="96">
        <f>IF(spk1mk[[#This Row],[Name]]="",0,LARGE(spk1mk[[#This Row],[1]:[8]],$D$2))</f>
        <v>0</v>
      </c>
      <c r="Q11" s="91" t="str">
        <f>IF(OR((COUNTIFS(spk1mk[[#This Row],[1]:[8]],"="&amp;spk1mk[[#This Row],[L]])=8),(COUNTIFS(spk1mk[[#This Row],[1]:[8]],"="&amp;spk1mk[[#This Row],[L]])&lt;2)),"OK","Fehler (zu wenig Streicher) [Gleiche Werte jeweils um 0,1 erhöhen]")</f>
        <v>OK</v>
      </c>
      <c r="R11" s="6"/>
      <c r="S11" s="2"/>
      <c r="U11" s="1"/>
      <c r="AS11" s="1"/>
      <c r="AT11" s="1"/>
    </row>
    <row r="12" spans="1:46" ht="11.25" hidden="1" customHeight="1">
      <c r="A12" s="32"/>
      <c r="B12" s="20" t="str">
        <f>IF(spk1mk[[#This Row],[Name]]="","",_xlfn.RANK.EQ(spk1mk[[#This Row],[Result]],_xlnm.Criteria,0))</f>
        <v/>
      </c>
      <c r="E12" s="2"/>
      <c r="F12" s="20"/>
      <c r="G12" s="5">
        <v>0</v>
      </c>
      <c r="H12" s="5">
        <v>1E-3</v>
      </c>
      <c r="I12" s="5">
        <v>2E-3</v>
      </c>
      <c r="J12" s="5">
        <v>3.0000000000000001E-3</v>
      </c>
      <c r="K12" s="5">
        <v>4.0000000000000001E-3</v>
      </c>
      <c r="L12" s="5">
        <v>5.0000000000000001E-3</v>
      </c>
      <c r="M12" s="5">
        <v>6.0000000000000001E-3</v>
      </c>
      <c r="N12" s="5">
        <v>7.0000000000000001E-3</v>
      </c>
      <c r="O12" s="33">
        <f>SUMPRODUCT(spk1mk[[#This Row],[1]:[8]]*(spk1mk[[#This Row],[1]:[8]]&gt;=spk1mk[[#This Row],[L]]))</f>
        <v>2.7999999999999997E-2</v>
      </c>
      <c r="P12" s="96">
        <f>IF(spk1mk[[#This Row],[Name]]="",0,LARGE(spk1mk[[#This Row],[1]:[8]],$D$2))</f>
        <v>0</v>
      </c>
      <c r="Q12" s="91" t="str">
        <f>IF(OR((COUNTIFS(spk1mk[[#This Row],[1]:[8]],"="&amp;spk1mk[[#This Row],[L]])=8),(COUNTIFS(spk1mk[[#This Row],[1]:[8]],"="&amp;spk1mk[[#This Row],[L]])&lt;2)),"OK","Fehler (zu wenig Streicher) [Gleiche Werte jeweils um 0,1 erhöhen]")</f>
        <v>OK</v>
      </c>
      <c r="R12" s="6"/>
      <c r="S12" s="18"/>
      <c r="U12" s="1"/>
      <c r="AS12" s="1"/>
      <c r="AT12" s="1"/>
    </row>
    <row r="13" spans="1:46" ht="11.25" hidden="1" customHeight="1">
      <c r="A13" s="32"/>
      <c r="B13" s="20" t="str">
        <f>IF(spk1mk[[#This Row],[Name]]="","",_xlfn.RANK.EQ(spk1mk[[#This Row],[Result]],_xlnm.Criteria,0))</f>
        <v/>
      </c>
      <c r="E13" s="2"/>
      <c r="F13" s="20"/>
      <c r="G13" s="5">
        <v>0</v>
      </c>
      <c r="H13" s="5">
        <v>1E-3</v>
      </c>
      <c r="I13" s="5">
        <v>2E-3</v>
      </c>
      <c r="J13" s="5">
        <v>3.0000000000000001E-3</v>
      </c>
      <c r="K13" s="5">
        <v>4.0000000000000001E-3</v>
      </c>
      <c r="L13" s="5">
        <v>5.0000000000000001E-3</v>
      </c>
      <c r="M13" s="5">
        <v>6.0000000000000001E-3</v>
      </c>
      <c r="N13" s="5">
        <v>7.0000000000000001E-3</v>
      </c>
      <c r="O13" s="33">
        <f>SUMPRODUCT(spk1mk[[#This Row],[1]:[8]]*(spk1mk[[#This Row],[1]:[8]]&gt;=spk1mk[[#This Row],[L]]))</f>
        <v>2.7999999999999997E-2</v>
      </c>
      <c r="P13" s="96">
        <f>IF(spk1mk[[#This Row],[Name]]="",0,LARGE(spk1mk[[#This Row],[1]:[8]],$D$2))</f>
        <v>0</v>
      </c>
      <c r="Q13" s="91" t="str">
        <f>IF(OR((COUNTIFS(spk1mk[[#This Row],[1]:[8]],"="&amp;spk1mk[[#This Row],[L]])=8),(COUNTIFS(spk1mk[[#This Row],[1]:[8]],"="&amp;spk1mk[[#This Row],[L]])&lt;2)),"OK","Fehler (zu wenig Streicher) [Gleiche Werte jeweils um 0,1 erhöhen]")</f>
        <v>OK</v>
      </c>
      <c r="R13" s="6"/>
      <c r="S13" s="19"/>
      <c r="U13" s="1"/>
      <c r="AS13" s="1"/>
      <c r="AT13" s="1"/>
    </row>
    <row r="14" spans="1:46" ht="11.25" hidden="1" customHeight="1">
      <c r="A14" s="32"/>
      <c r="B14" s="20" t="str">
        <f>IF(spk1mk[[#This Row],[Name]]="","",_xlfn.RANK.EQ(spk1mk[[#This Row],[Result]],_xlnm.Criteria,0))</f>
        <v/>
      </c>
      <c r="E14" s="2"/>
      <c r="F14" s="20"/>
      <c r="G14" s="5">
        <v>0</v>
      </c>
      <c r="H14" s="5">
        <v>1E-3</v>
      </c>
      <c r="I14" s="5">
        <v>2E-3</v>
      </c>
      <c r="J14" s="5">
        <v>3.0000000000000001E-3</v>
      </c>
      <c r="K14" s="5">
        <v>4.0000000000000001E-3</v>
      </c>
      <c r="L14" s="5">
        <v>5.0000000000000001E-3</v>
      </c>
      <c r="M14" s="5">
        <v>6.0000000000000001E-3</v>
      </c>
      <c r="N14" s="5">
        <v>7.0000000000000001E-3</v>
      </c>
      <c r="O14" s="33">
        <f>SUMPRODUCT(spk1mk[[#This Row],[1]:[8]]*(spk1mk[[#This Row],[1]:[8]]&gt;=spk1mk[[#This Row],[L]]))</f>
        <v>2.7999999999999997E-2</v>
      </c>
      <c r="P14" s="96">
        <f>IF(spk1mk[[#This Row],[Name]]="",0,LARGE(spk1mk[[#This Row],[1]:[8]],$D$2))</f>
        <v>0</v>
      </c>
      <c r="Q14" s="91" t="str">
        <f>IF(OR((COUNTIFS(spk1mk[[#This Row],[1]:[8]],"="&amp;spk1mk[[#This Row],[L]])=8),(COUNTIFS(spk1mk[[#This Row],[1]:[8]],"="&amp;spk1mk[[#This Row],[L]])&lt;2)),"OK","Fehler (zu wenig Streicher) [Gleiche Werte jeweils um 0,1 erhöhen]")</f>
        <v>OK</v>
      </c>
      <c r="R14" s="6"/>
      <c r="U14" s="1"/>
      <c r="AS14" s="1"/>
      <c r="AT14" s="1"/>
    </row>
    <row r="15" spans="1:46" ht="11.25" hidden="1" customHeight="1">
      <c r="A15" s="32"/>
      <c r="B15" s="20" t="str">
        <f>IF(spk1mk[[#This Row],[Name]]="","",_xlfn.RANK.EQ(spk1mk[[#This Row],[Result]],_xlnm.Criteria,0))</f>
        <v/>
      </c>
      <c r="E15" s="2"/>
      <c r="F15" s="20"/>
      <c r="G15" s="5">
        <v>0</v>
      </c>
      <c r="H15" s="5">
        <v>1E-3</v>
      </c>
      <c r="I15" s="5">
        <v>2E-3</v>
      </c>
      <c r="J15" s="5">
        <v>3.0000000000000001E-3</v>
      </c>
      <c r="K15" s="5">
        <v>4.0000000000000001E-3</v>
      </c>
      <c r="L15" s="5">
        <v>5.0000000000000001E-3</v>
      </c>
      <c r="M15" s="5">
        <v>6.0000000000000001E-3</v>
      </c>
      <c r="N15" s="5">
        <v>7.0000000000000001E-3</v>
      </c>
      <c r="O15" s="33">
        <f>SUMPRODUCT(spk1mk[[#This Row],[1]:[8]]*(spk1mk[[#This Row],[1]:[8]]&gt;=spk1mk[[#This Row],[L]]))</f>
        <v>2.7999999999999997E-2</v>
      </c>
      <c r="P15" s="96">
        <f>IF(spk1mk[[#This Row],[Name]]="",0,LARGE(spk1mk[[#This Row],[1]:[8]],$D$2))</f>
        <v>0</v>
      </c>
      <c r="Q15" s="91" t="str">
        <f>IF(OR((COUNTIFS(spk1mk[[#This Row],[1]:[8]],"="&amp;spk1mk[[#This Row],[L]])=8),(COUNTIFS(spk1mk[[#This Row],[1]:[8]],"="&amp;spk1mk[[#This Row],[L]])&lt;2)),"OK","Fehler (zu wenig Streicher) [Gleiche Werte jeweils um 0,1 erhöhen]")</f>
        <v>OK</v>
      </c>
      <c r="R15" s="6"/>
      <c r="U15" s="1"/>
      <c r="AS15" s="1"/>
      <c r="AT15" s="1"/>
    </row>
    <row r="16" spans="1:46" ht="11.25" hidden="1" customHeight="1">
      <c r="A16" s="32"/>
      <c r="B16" s="20" t="str">
        <f>IF(spk1mk[[#This Row],[Name]]="","",_xlfn.RANK.EQ(spk1mk[[#This Row],[Result]],_xlnm.Criteria,0))</f>
        <v/>
      </c>
      <c r="E16" s="2"/>
      <c r="F16" s="20"/>
      <c r="G16" s="5">
        <v>0</v>
      </c>
      <c r="H16" s="5">
        <v>1E-3</v>
      </c>
      <c r="I16" s="5">
        <v>2E-3</v>
      </c>
      <c r="J16" s="5">
        <v>3.0000000000000001E-3</v>
      </c>
      <c r="K16" s="5">
        <v>4.0000000000000001E-3</v>
      </c>
      <c r="L16" s="5">
        <v>5.0000000000000001E-3</v>
      </c>
      <c r="M16" s="5">
        <v>6.0000000000000001E-3</v>
      </c>
      <c r="N16" s="5">
        <v>7.0000000000000001E-3</v>
      </c>
      <c r="O16" s="33">
        <f>SUMPRODUCT(spk1mk[[#This Row],[1]:[8]]*(spk1mk[[#This Row],[1]:[8]]&gt;=spk1mk[[#This Row],[L]]))</f>
        <v>2.7999999999999997E-2</v>
      </c>
      <c r="P16" s="96">
        <f>IF(spk1mk[[#This Row],[Name]]="",0,LARGE(spk1mk[[#This Row],[1]:[8]],$D$2))</f>
        <v>0</v>
      </c>
      <c r="Q16" s="91" t="str">
        <f>IF(OR((COUNTIFS(spk1mk[[#This Row],[1]:[8]],"="&amp;spk1mk[[#This Row],[L]])=8),(COUNTIFS(spk1mk[[#This Row],[1]:[8]],"="&amp;spk1mk[[#This Row],[L]])&lt;2)),"OK","Fehler (zu wenig Streicher) [Gleiche Werte jeweils um 0,1 erhöhen]")</f>
        <v>OK</v>
      </c>
      <c r="R16" s="6"/>
      <c r="U16" s="1"/>
      <c r="AS16" s="1"/>
      <c r="AT16" s="1"/>
    </row>
    <row r="17" spans="1:46" ht="11.25" hidden="1" customHeight="1">
      <c r="A17" s="32"/>
      <c r="B17" s="20" t="str">
        <f>IF(spk1mk[[#This Row],[Name]]="","",_xlfn.RANK.EQ(spk1mk[[#This Row],[Result]],_xlnm.Criteria,0))</f>
        <v/>
      </c>
      <c r="E17" s="2"/>
      <c r="F17" s="20"/>
      <c r="G17" s="5">
        <v>0</v>
      </c>
      <c r="H17" s="5">
        <v>1E-3</v>
      </c>
      <c r="I17" s="5">
        <v>2E-3</v>
      </c>
      <c r="J17" s="5">
        <v>3.0000000000000001E-3</v>
      </c>
      <c r="K17" s="5">
        <v>4.0000000000000001E-3</v>
      </c>
      <c r="L17" s="5">
        <v>5.0000000000000001E-3</v>
      </c>
      <c r="M17" s="5">
        <v>6.0000000000000001E-3</v>
      </c>
      <c r="N17" s="5">
        <v>7.0000000000000001E-3</v>
      </c>
      <c r="O17" s="33">
        <f>SUMPRODUCT(spk1mk[[#This Row],[1]:[8]]*(spk1mk[[#This Row],[1]:[8]]&gt;=spk1mk[[#This Row],[L]]))</f>
        <v>2.7999999999999997E-2</v>
      </c>
      <c r="P17" s="96">
        <f>IF(spk1mk[[#This Row],[Name]]="",0,LARGE(spk1mk[[#This Row],[1]:[8]],$D$2))</f>
        <v>0</v>
      </c>
      <c r="Q17" s="91" t="str">
        <f>IF(OR((COUNTIFS(spk1mk[[#This Row],[1]:[8]],"="&amp;spk1mk[[#This Row],[L]])=8),(COUNTIFS(spk1mk[[#This Row],[1]:[8]],"="&amp;spk1mk[[#This Row],[L]])&lt;2)),"OK","Fehler (zu wenig Streicher) [Gleiche Werte jeweils um 0,1 erhöhen]")</f>
        <v>OK</v>
      </c>
      <c r="R17" s="6"/>
      <c r="U17" s="1"/>
      <c r="AS17" s="1"/>
      <c r="AT17" s="1"/>
    </row>
    <row r="18" spans="1:46" ht="11.25" hidden="1" customHeight="1">
      <c r="A18" s="32"/>
      <c r="B18" s="20" t="str">
        <f>IF(spk1mk[[#This Row],[Name]]="","",_xlfn.RANK.EQ(spk1mk[[#This Row],[Result]],_xlnm.Criteria,0))</f>
        <v/>
      </c>
      <c r="E18" s="2"/>
      <c r="F18" s="20"/>
      <c r="G18" s="5">
        <v>0</v>
      </c>
      <c r="H18" s="5">
        <v>1E-3</v>
      </c>
      <c r="I18" s="5">
        <v>2E-3</v>
      </c>
      <c r="J18" s="5">
        <v>3.0000000000000001E-3</v>
      </c>
      <c r="K18" s="5">
        <v>4.0000000000000001E-3</v>
      </c>
      <c r="L18" s="5">
        <v>5.0000000000000001E-3</v>
      </c>
      <c r="M18" s="5">
        <v>6.0000000000000001E-3</v>
      </c>
      <c r="N18" s="5">
        <v>7.0000000000000001E-3</v>
      </c>
      <c r="O18" s="33">
        <f>SUMPRODUCT(spk1mk[[#This Row],[1]:[8]]*(spk1mk[[#This Row],[1]:[8]]&gt;=spk1mk[[#This Row],[L]]))</f>
        <v>2.7999999999999997E-2</v>
      </c>
      <c r="P18" s="96">
        <f>IF(spk1mk[[#This Row],[Name]]="",0,LARGE(spk1mk[[#This Row],[1]:[8]],$D$2))</f>
        <v>0</v>
      </c>
      <c r="Q18" s="91" t="str">
        <f>IF(OR((COUNTIFS(spk1mk[[#This Row],[1]:[8]],"="&amp;spk1mk[[#This Row],[L]])=8),(COUNTIFS(spk1mk[[#This Row],[1]:[8]],"="&amp;spk1mk[[#This Row],[L]])&lt;2)),"OK","Fehler (zu wenig Streicher) [Gleiche Werte jeweils um 0,1 erhöhen]")</f>
        <v>OK</v>
      </c>
      <c r="R18" s="6"/>
      <c r="U18" s="1"/>
      <c r="AS18" s="1"/>
      <c r="AT18" s="1"/>
    </row>
    <row r="19" spans="1:46" ht="11.25" hidden="1" customHeight="1" thickBot="1">
      <c r="A19" s="34"/>
      <c r="B19" s="35" t="str">
        <f>IF(spk1mk[[#This Row],[Name]]="","",_xlfn.RANK.EQ(spk1mk[[#This Row],[Result]],_xlnm.Criteria,0))</f>
        <v/>
      </c>
      <c r="C19" s="51"/>
      <c r="D19" s="51"/>
      <c r="E19" s="52"/>
      <c r="F19" s="35"/>
      <c r="G19" s="36">
        <v>0</v>
      </c>
      <c r="H19" s="36">
        <v>1E-3</v>
      </c>
      <c r="I19" s="36">
        <v>2E-3</v>
      </c>
      <c r="J19" s="36">
        <v>3.0000000000000001E-3</v>
      </c>
      <c r="K19" s="36">
        <v>4.0000000000000001E-3</v>
      </c>
      <c r="L19" s="36">
        <v>5.0000000000000001E-3</v>
      </c>
      <c r="M19" s="36">
        <v>6.0000000000000001E-3</v>
      </c>
      <c r="N19" s="36">
        <v>7.0000000000000001E-3</v>
      </c>
      <c r="O19" s="37">
        <f>SUMPRODUCT(spk1mk[[#This Row],[1]:[8]]*(spk1mk[[#This Row],[1]:[8]]&gt;=spk1mk[[#This Row],[L]]))</f>
        <v>2.7999999999999997E-2</v>
      </c>
      <c r="P19" s="96">
        <f>IF(spk1mk[[#This Row],[Name]]="",0,LARGE(spk1mk[[#This Row],[1]:[8]],$D$2))</f>
        <v>0</v>
      </c>
      <c r="Q19" s="91" t="str">
        <f>IF(OR((COUNTIFS(spk1mk[[#This Row],[1]:[8]],"="&amp;spk1mk[[#This Row],[L]])=8),(COUNTIFS(spk1mk[[#This Row],[1]:[8]],"="&amp;spk1mk[[#This Row],[L]])&lt;2)),"OK","Fehler (zu wenig Streicher) [Gleiche Werte jeweils um 0,1 erhöhen]")</f>
        <v>OK</v>
      </c>
      <c r="R19" s="6"/>
      <c r="U19" s="1"/>
      <c r="AS19" s="1"/>
      <c r="AT19" s="1"/>
    </row>
    <row r="20" spans="1:46" ht="11.25" hidden="1" customHeight="1">
      <c r="B20" s="20" t="str">
        <f>IF(spk1mk[[#This Row],[Name]]="","",_xlfn.RANK.EQ(spk1mk[[#This Row],[Result]],_xlnm.Criteria,0))</f>
        <v/>
      </c>
      <c r="E20" s="2"/>
      <c r="F20" s="20"/>
      <c r="G20" s="20"/>
      <c r="H20" s="5">
        <v>0</v>
      </c>
      <c r="I20" s="5"/>
      <c r="J20" s="5">
        <v>0</v>
      </c>
      <c r="K20" s="5">
        <v>0</v>
      </c>
      <c r="L20" s="5">
        <v>0</v>
      </c>
      <c r="M20" s="5"/>
      <c r="N20" s="5">
        <v>0</v>
      </c>
      <c r="O20" s="33">
        <f>SUMPRODUCT(spk1mk[[#This Row],[1]:[8]]*(spk1mk[[#This Row],[1]:[8]]&gt;=spk1mk[[#This Row],[L]]))</f>
        <v>0</v>
      </c>
      <c r="P20" s="16">
        <f>IF(spk1mk[[#This Row],[Name]]="",0,LARGE(spk1mk[[#This Row],[1]:[8]],$D$2))</f>
        <v>0</v>
      </c>
      <c r="Q20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20" s="6"/>
      <c r="T20" s="1" t="e">
        <f>COUNTIFS(#REF!,"="&amp;spk1mk[[#This Row],[L]])</f>
        <v>#REF!</v>
      </c>
      <c r="U20" s="1"/>
      <c r="AS20" s="1"/>
      <c r="AT20" s="1"/>
    </row>
    <row r="21" spans="1:46" ht="11.25" hidden="1" customHeight="1">
      <c r="B21" s="20" t="str">
        <f>IF(spk1mk[[#This Row],[Name]]="","",_xlfn.RANK.EQ(spk1mk[[#This Row],[Result]],_xlnm.Criteria,0))</f>
        <v/>
      </c>
      <c r="E21" s="2"/>
      <c r="F21" s="20"/>
      <c r="G21" s="20"/>
      <c r="H21" s="5">
        <v>0</v>
      </c>
      <c r="I21" s="5"/>
      <c r="J21" s="5">
        <v>0</v>
      </c>
      <c r="K21" s="5">
        <v>0</v>
      </c>
      <c r="L21" s="5">
        <v>0</v>
      </c>
      <c r="M21" s="5"/>
      <c r="N21" s="5">
        <v>0</v>
      </c>
      <c r="O21" s="33">
        <f>SUMPRODUCT(spk1mk[[#This Row],[1]:[8]]*(spk1mk[[#This Row],[1]:[8]]&gt;=spk1mk[[#This Row],[L]]))</f>
        <v>0</v>
      </c>
      <c r="P21" s="16">
        <f>IF(spk1mk[[#This Row],[Name]]="",0,LARGE(spk1mk[[#This Row],[1]:[8]],$D$2))</f>
        <v>0</v>
      </c>
      <c r="Q21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21" s="6"/>
      <c r="T21" s="1" t="e">
        <f>COUNTIFS(#REF!,"="&amp;spk1mk[[#This Row],[L]])</f>
        <v>#REF!</v>
      </c>
      <c r="U21" s="1"/>
      <c r="AS21" s="1"/>
      <c r="AT21" s="1"/>
    </row>
    <row r="22" spans="1:46" ht="11.25" hidden="1" customHeight="1">
      <c r="B22" s="20" t="str">
        <f>IF(spk1mk[[#This Row],[Name]]="","",_xlfn.RANK.EQ(spk1mk[[#This Row],[Result]],_xlnm.Criteria,0))</f>
        <v/>
      </c>
      <c r="E22" s="2"/>
      <c r="F22" s="20"/>
      <c r="G22" s="20"/>
      <c r="H22" s="5">
        <v>0</v>
      </c>
      <c r="I22" s="5"/>
      <c r="J22" s="5">
        <v>0</v>
      </c>
      <c r="K22" s="5">
        <v>0</v>
      </c>
      <c r="L22" s="5">
        <v>0</v>
      </c>
      <c r="M22" s="5"/>
      <c r="N22" s="5">
        <v>0</v>
      </c>
      <c r="O22" s="33">
        <f>SUMPRODUCT(spk1mk[[#This Row],[1]:[8]]*(spk1mk[[#This Row],[1]:[8]]&gt;=spk1mk[[#This Row],[L]]))</f>
        <v>0</v>
      </c>
      <c r="P22" s="16">
        <f>IF(spk1mk[[#This Row],[Name]]="",0,LARGE(spk1mk[[#This Row],[1]:[8]],$D$2))</f>
        <v>0</v>
      </c>
      <c r="Q22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22" s="6"/>
      <c r="T22" s="1" t="e">
        <f>COUNTIFS(#REF!,"="&amp;spk1mk[[#This Row],[L]])</f>
        <v>#REF!</v>
      </c>
      <c r="U22" s="1"/>
      <c r="AS22" s="1"/>
      <c r="AT22" s="1"/>
    </row>
    <row r="23" spans="1:46" ht="11.25" hidden="1" customHeight="1">
      <c r="B23" s="20" t="str">
        <f>IF(spk1mk[[#This Row],[Name]]="","",_xlfn.RANK.EQ(spk1mk[[#This Row],[Result]],_xlnm.Criteria,0))</f>
        <v/>
      </c>
      <c r="E23" s="2"/>
      <c r="F23" s="20"/>
      <c r="G23" s="20"/>
      <c r="H23" s="5">
        <v>0</v>
      </c>
      <c r="I23" s="5"/>
      <c r="J23" s="5">
        <v>0</v>
      </c>
      <c r="K23" s="5">
        <v>0</v>
      </c>
      <c r="L23" s="5">
        <v>0</v>
      </c>
      <c r="M23" s="5"/>
      <c r="N23" s="5">
        <v>0</v>
      </c>
      <c r="O23" s="33">
        <f>SUMPRODUCT(spk1mk[[#This Row],[1]:[8]]*(spk1mk[[#This Row],[1]:[8]]&gt;=spk1mk[[#This Row],[L]]))</f>
        <v>0</v>
      </c>
      <c r="P23" s="16">
        <f>IF(spk1mk[[#This Row],[Name]]="",0,LARGE(spk1mk[[#This Row],[1]:[8]],$D$2))</f>
        <v>0</v>
      </c>
      <c r="Q23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23" s="6"/>
      <c r="T23" s="1" t="e">
        <f>COUNTIFS(#REF!,"="&amp;spk1mk[[#This Row],[L]])</f>
        <v>#REF!</v>
      </c>
      <c r="U23" s="1"/>
      <c r="AS23" s="1"/>
      <c r="AT23" s="1"/>
    </row>
    <row r="24" spans="1:46" ht="11.25" hidden="1" customHeight="1">
      <c r="B24" s="20" t="str">
        <f>IF(spk1mk[[#This Row],[Name]]="","",_xlfn.RANK.EQ(spk1mk[[#This Row],[Result]],_xlnm.Criteria,0))</f>
        <v/>
      </c>
      <c r="E24" s="2"/>
      <c r="F24" s="20"/>
      <c r="G24" s="20"/>
      <c r="H24" s="5">
        <v>0</v>
      </c>
      <c r="I24" s="5"/>
      <c r="J24" s="5">
        <v>0</v>
      </c>
      <c r="K24" s="5">
        <v>0</v>
      </c>
      <c r="L24" s="5">
        <v>0</v>
      </c>
      <c r="M24" s="5"/>
      <c r="N24" s="5">
        <v>0</v>
      </c>
      <c r="O24" s="33">
        <f>SUMPRODUCT(spk1mk[[#This Row],[1]:[8]]*(spk1mk[[#This Row],[1]:[8]]&gt;=spk1mk[[#This Row],[L]]))</f>
        <v>0</v>
      </c>
      <c r="P24" s="16">
        <f>IF(spk1mk[[#This Row],[Name]]="",0,LARGE(spk1mk[[#This Row],[1]:[8]],$D$2))</f>
        <v>0</v>
      </c>
      <c r="Q24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24" s="6"/>
      <c r="T24" s="1" t="e">
        <f>COUNTIFS(#REF!,"="&amp;spk1mk[[#This Row],[L]])</f>
        <v>#REF!</v>
      </c>
      <c r="U24" s="1"/>
      <c r="AS24" s="1"/>
      <c r="AT24" s="1"/>
    </row>
    <row r="25" spans="1:46" ht="11.25" hidden="1" customHeight="1">
      <c r="B25" s="20" t="str">
        <f>IF(spk1mk[[#This Row],[Name]]="","",_xlfn.RANK.EQ(spk1mk[[#This Row],[Result]],_xlnm.Criteria,0))</f>
        <v/>
      </c>
      <c r="E25" s="2"/>
      <c r="F25" s="20"/>
      <c r="G25" s="20"/>
      <c r="H25" s="5">
        <v>0</v>
      </c>
      <c r="I25" s="5"/>
      <c r="J25" s="5">
        <v>0</v>
      </c>
      <c r="K25" s="5">
        <v>0</v>
      </c>
      <c r="L25" s="5">
        <v>0</v>
      </c>
      <c r="M25" s="5"/>
      <c r="N25" s="5">
        <v>0</v>
      </c>
      <c r="O25" s="33">
        <f>SUMPRODUCT(spk1mk[[#This Row],[1]:[8]]*(spk1mk[[#This Row],[1]:[8]]&gt;=spk1mk[[#This Row],[L]]))</f>
        <v>0</v>
      </c>
      <c r="P25" s="16">
        <f>IF(spk1mk[[#This Row],[Name]]="",0,LARGE(spk1mk[[#This Row],[1]:[8]],$D$2))</f>
        <v>0</v>
      </c>
      <c r="Q25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25" s="6"/>
      <c r="T25" s="1" t="e">
        <f>COUNTIFS(#REF!,"="&amp;spk1mk[[#This Row],[L]])</f>
        <v>#REF!</v>
      </c>
      <c r="U25" s="1"/>
      <c r="AS25" s="1"/>
      <c r="AT25" s="1"/>
    </row>
    <row r="26" spans="1:46" ht="11.25" hidden="1" customHeight="1">
      <c r="B26" s="20" t="str">
        <f>IF(spk1mk[[#This Row],[Name]]="","",_xlfn.RANK.EQ(spk1mk[[#This Row],[Result]],_xlnm.Criteria,0))</f>
        <v/>
      </c>
      <c r="E26" s="2"/>
      <c r="F26" s="20"/>
      <c r="G26" s="20"/>
      <c r="H26" s="5">
        <v>0</v>
      </c>
      <c r="I26" s="5"/>
      <c r="J26" s="5">
        <v>0</v>
      </c>
      <c r="K26" s="5">
        <v>0</v>
      </c>
      <c r="L26" s="5">
        <v>0</v>
      </c>
      <c r="M26" s="5"/>
      <c r="N26" s="5">
        <v>0</v>
      </c>
      <c r="O26" s="33">
        <f>SUMPRODUCT(spk1mk[[#This Row],[1]:[8]]*(spk1mk[[#This Row],[1]:[8]]&gt;=spk1mk[[#This Row],[L]]))</f>
        <v>0</v>
      </c>
      <c r="P26" s="16">
        <f>IF(spk1mk[[#This Row],[Name]]="",0,LARGE(spk1mk[[#This Row],[1]:[8]],$D$2))</f>
        <v>0</v>
      </c>
      <c r="Q26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26" s="6"/>
      <c r="T26" s="1" t="e">
        <f>COUNTIFS(#REF!,"="&amp;spk1mk[[#This Row],[L]])</f>
        <v>#REF!</v>
      </c>
      <c r="U26" s="1"/>
      <c r="AS26" s="1"/>
      <c r="AT26" s="1"/>
    </row>
    <row r="27" spans="1:46" ht="11.25" hidden="1" customHeight="1">
      <c r="B27" s="20" t="str">
        <f>IF(spk1mk[[#This Row],[Name]]="","",_xlfn.RANK.EQ(spk1mk[[#This Row],[Result]],_xlnm.Criteria,0))</f>
        <v/>
      </c>
      <c r="E27" s="2"/>
      <c r="F27" s="20"/>
      <c r="G27" s="20"/>
      <c r="H27" s="5">
        <v>0</v>
      </c>
      <c r="I27" s="5"/>
      <c r="J27" s="5">
        <v>0</v>
      </c>
      <c r="K27" s="5">
        <v>0</v>
      </c>
      <c r="L27" s="5">
        <v>0</v>
      </c>
      <c r="M27" s="5"/>
      <c r="N27" s="5">
        <v>0</v>
      </c>
      <c r="O27" s="33">
        <f>SUMPRODUCT(spk1mk[[#This Row],[1]:[8]]*(spk1mk[[#This Row],[1]:[8]]&gt;=spk1mk[[#This Row],[L]]))</f>
        <v>0</v>
      </c>
      <c r="P27" s="16">
        <f>IF(spk1mk[[#This Row],[Name]]="",0,LARGE(spk1mk[[#This Row],[1]:[8]],$D$2))</f>
        <v>0</v>
      </c>
      <c r="Q27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27" s="6"/>
      <c r="T27" s="1" t="e">
        <f>COUNTIFS(#REF!,"="&amp;spk1mk[[#This Row],[L]])</f>
        <v>#REF!</v>
      </c>
      <c r="U27" s="1"/>
      <c r="AS27" s="1"/>
      <c r="AT27" s="1"/>
    </row>
    <row r="28" spans="1:46" ht="11.25" hidden="1" customHeight="1">
      <c r="B28" s="20" t="str">
        <f>IF(spk1mk[[#This Row],[Name]]="","",_xlfn.RANK.EQ(spk1mk[[#This Row],[Result]],_xlnm.Criteria,0))</f>
        <v/>
      </c>
      <c r="E28" s="2"/>
      <c r="F28" s="20"/>
      <c r="G28" s="20"/>
      <c r="H28" s="5">
        <v>0</v>
      </c>
      <c r="I28" s="5"/>
      <c r="J28" s="5">
        <v>0</v>
      </c>
      <c r="K28" s="5">
        <v>0</v>
      </c>
      <c r="L28" s="5">
        <v>0</v>
      </c>
      <c r="M28" s="5"/>
      <c r="N28" s="5">
        <v>0</v>
      </c>
      <c r="O28" s="33">
        <f>SUMPRODUCT(spk1mk[[#This Row],[1]:[8]]*(spk1mk[[#This Row],[1]:[8]]&gt;=spk1mk[[#This Row],[L]]))</f>
        <v>0</v>
      </c>
      <c r="P28" s="16">
        <f>IF(spk1mk[[#This Row],[Name]]="",0,LARGE(spk1mk[[#This Row],[1]:[8]],$D$2))</f>
        <v>0</v>
      </c>
      <c r="Q28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28" s="6"/>
      <c r="T28" s="1" t="e">
        <f>COUNTIFS(#REF!,"="&amp;spk1mk[[#This Row],[L]])</f>
        <v>#REF!</v>
      </c>
      <c r="U28" s="1"/>
      <c r="AS28" s="1"/>
      <c r="AT28" s="1"/>
    </row>
    <row r="29" spans="1:46" ht="11.25" hidden="1" customHeight="1">
      <c r="B29" s="20" t="str">
        <f>IF(spk1mk[[#This Row],[Name]]="","",_xlfn.RANK.EQ(spk1mk[[#This Row],[Result]],_xlnm.Criteria,0))</f>
        <v/>
      </c>
      <c r="E29" s="2"/>
      <c r="F29" s="20"/>
      <c r="G29" s="20"/>
      <c r="H29" s="5">
        <v>0</v>
      </c>
      <c r="I29" s="5"/>
      <c r="J29" s="5">
        <v>0</v>
      </c>
      <c r="K29" s="5">
        <v>0</v>
      </c>
      <c r="L29" s="5">
        <v>0</v>
      </c>
      <c r="M29" s="5"/>
      <c r="N29" s="5">
        <v>0</v>
      </c>
      <c r="O29" s="33">
        <f>SUMPRODUCT(spk1mk[[#This Row],[1]:[8]]*(spk1mk[[#This Row],[1]:[8]]&gt;=spk1mk[[#This Row],[L]]))</f>
        <v>0</v>
      </c>
      <c r="P29" s="16">
        <f>IF(spk1mk[[#This Row],[Name]]="",0,LARGE(spk1mk[[#This Row],[1]:[8]],$D$2))</f>
        <v>0</v>
      </c>
      <c r="Q29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29" s="6"/>
      <c r="T29" s="1" t="e">
        <f>COUNTIFS(#REF!,"="&amp;spk1mk[[#This Row],[L]])</f>
        <v>#REF!</v>
      </c>
      <c r="U29" s="1"/>
      <c r="AS29" s="1"/>
      <c r="AT29" s="1"/>
    </row>
    <row r="30" spans="1:46" ht="11.25" hidden="1" customHeight="1">
      <c r="B30" s="20" t="str">
        <f>IF(spk1mk[[#This Row],[Name]]="","",_xlfn.RANK.EQ(spk1mk[[#This Row],[Result]],_xlnm.Criteria,0))</f>
        <v/>
      </c>
      <c r="E30" s="2"/>
      <c r="F30" s="20"/>
      <c r="G30" s="20"/>
      <c r="H30" s="5">
        <v>0</v>
      </c>
      <c r="I30" s="5"/>
      <c r="J30" s="5">
        <v>0</v>
      </c>
      <c r="K30" s="5">
        <v>0</v>
      </c>
      <c r="L30" s="5">
        <v>0</v>
      </c>
      <c r="M30" s="5"/>
      <c r="N30" s="5">
        <v>0</v>
      </c>
      <c r="O30" s="33">
        <f>SUMPRODUCT(spk1mk[[#This Row],[1]:[8]]*(spk1mk[[#This Row],[1]:[8]]&gt;=spk1mk[[#This Row],[L]]))</f>
        <v>0</v>
      </c>
      <c r="P30" s="16">
        <f>IF(spk1mk[[#This Row],[Name]]="",0,LARGE(spk1mk[[#This Row],[1]:[8]],$D$2))</f>
        <v>0</v>
      </c>
      <c r="Q30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30" s="6"/>
      <c r="T30" s="1" t="e">
        <f>COUNTIFS(#REF!,"="&amp;spk1mk[[#This Row],[L]])</f>
        <v>#REF!</v>
      </c>
      <c r="U30" s="1"/>
      <c r="AS30" s="1"/>
      <c r="AT30" s="1"/>
    </row>
    <row r="31" spans="1:46" ht="11.25" hidden="1" customHeight="1">
      <c r="B31" s="20" t="str">
        <f>IF(spk1mk[[#This Row],[Name]]="","",_xlfn.RANK.EQ(spk1mk[[#This Row],[Result]],_xlnm.Criteria,0))</f>
        <v/>
      </c>
      <c r="E31" s="2"/>
      <c r="F31" s="20"/>
      <c r="G31" s="20"/>
      <c r="H31" s="5">
        <v>0</v>
      </c>
      <c r="I31" s="5"/>
      <c r="J31" s="5">
        <v>0</v>
      </c>
      <c r="K31" s="5">
        <v>0</v>
      </c>
      <c r="L31" s="5">
        <v>0</v>
      </c>
      <c r="M31" s="5"/>
      <c r="N31" s="5">
        <v>0</v>
      </c>
      <c r="O31" s="33">
        <f>SUMPRODUCT(spk1mk[[#This Row],[1]:[8]]*(spk1mk[[#This Row],[1]:[8]]&gt;=spk1mk[[#This Row],[L]]))</f>
        <v>0</v>
      </c>
      <c r="P31" s="16">
        <f>IF(spk1mk[[#This Row],[Name]]="",0,LARGE(spk1mk[[#This Row],[1]:[8]],$D$2))</f>
        <v>0</v>
      </c>
      <c r="Q31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31" s="6"/>
      <c r="T31" s="1" t="e">
        <f>COUNTIFS(#REF!,"="&amp;spk1mk[[#This Row],[L]])</f>
        <v>#REF!</v>
      </c>
      <c r="U31" s="1"/>
      <c r="AS31" s="1"/>
      <c r="AT31" s="1"/>
    </row>
    <row r="32" spans="1:46" ht="11.25" hidden="1" customHeight="1">
      <c r="B32" s="20" t="str">
        <f>IF(spk1mk[[#This Row],[Name]]="","",_xlfn.RANK.EQ(spk1mk[[#This Row],[Result]],_xlnm.Criteria,0))</f>
        <v/>
      </c>
      <c r="E32" s="2"/>
      <c r="F32" s="20"/>
      <c r="G32" s="20"/>
      <c r="H32" s="5">
        <v>0</v>
      </c>
      <c r="I32" s="5"/>
      <c r="J32" s="5">
        <v>0</v>
      </c>
      <c r="K32" s="5">
        <v>0</v>
      </c>
      <c r="L32" s="5">
        <v>0</v>
      </c>
      <c r="M32" s="5"/>
      <c r="N32" s="5">
        <v>0</v>
      </c>
      <c r="O32" s="33">
        <f>SUMPRODUCT(spk1mk[[#This Row],[1]:[8]]*(spk1mk[[#This Row],[1]:[8]]&gt;=spk1mk[[#This Row],[L]]))</f>
        <v>0</v>
      </c>
      <c r="P32" s="16">
        <f>IF(spk1mk[[#This Row],[Name]]="",0,LARGE(spk1mk[[#This Row],[1]:[8]],$D$2))</f>
        <v>0</v>
      </c>
      <c r="Q32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32" s="6"/>
      <c r="T32" s="1" t="e">
        <f>COUNTIFS(#REF!,"="&amp;spk1mk[[#This Row],[L]])</f>
        <v>#REF!</v>
      </c>
      <c r="U32" s="1"/>
      <c r="AS32" s="1"/>
      <c r="AT32" s="1"/>
    </row>
    <row r="33" spans="1:46" ht="11.25" hidden="1" customHeight="1">
      <c r="B33" s="20" t="str">
        <f>IF(spk1mk[[#This Row],[Name]]="","",_xlfn.RANK.EQ(spk1mk[[#This Row],[Result]],_xlnm.Criteria,0))</f>
        <v/>
      </c>
      <c r="E33" s="2"/>
      <c r="F33" s="20"/>
      <c r="G33" s="20"/>
      <c r="H33" s="5">
        <v>0</v>
      </c>
      <c r="I33" s="5"/>
      <c r="J33" s="5">
        <v>0</v>
      </c>
      <c r="K33" s="5">
        <v>0</v>
      </c>
      <c r="L33" s="5">
        <v>0</v>
      </c>
      <c r="M33" s="5"/>
      <c r="N33" s="5">
        <v>0</v>
      </c>
      <c r="O33" s="33">
        <f>SUMPRODUCT(spk1mk[[#This Row],[1]:[8]]*(spk1mk[[#This Row],[1]:[8]]&gt;=spk1mk[[#This Row],[L]]))</f>
        <v>0</v>
      </c>
      <c r="P33" s="16">
        <f>IF(spk1mk[[#This Row],[Name]]="",0,LARGE(spk1mk[[#This Row],[1]:[8]],$D$2))</f>
        <v>0</v>
      </c>
      <c r="Q33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33" s="6"/>
      <c r="T33" s="1" t="e">
        <f>COUNTIFS(#REF!,"="&amp;spk1mk[[#This Row],[L]])</f>
        <v>#REF!</v>
      </c>
      <c r="U33" s="1"/>
      <c r="AS33" s="1"/>
      <c r="AT33" s="1"/>
    </row>
    <row r="34" spans="1:46" ht="11.25" hidden="1" customHeight="1">
      <c r="B34" s="20" t="str">
        <f>IF(spk1mk[[#This Row],[Name]]="","",_xlfn.RANK.EQ(spk1mk[[#This Row],[Result]],_xlnm.Criteria,0))</f>
        <v/>
      </c>
      <c r="E34" s="2"/>
      <c r="F34" s="20"/>
      <c r="G34" s="20"/>
      <c r="H34" s="5">
        <v>0</v>
      </c>
      <c r="I34" s="5"/>
      <c r="J34" s="5">
        <v>0</v>
      </c>
      <c r="K34" s="5">
        <v>0</v>
      </c>
      <c r="L34" s="5">
        <v>0</v>
      </c>
      <c r="M34" s="5"/>
      <c r="N34" s="5">
        <v>0</v>
      </c>
      <c r="O34" s="33">
        <f>SUMPRODUCT(spk1mk[[#This Row],[1]:[8]]*(spk1mk[[#This Row],[1]:[8]]&gt;=spk1mk[[#This Row],[L]]))</f>
        <v>0</v>
      </c>
      <c r="P34" s="16">
        <f>IF(spk1mk[[#This Row],[Name]]="",0,LARGE(spk1mk[[#This Row],[1]:[8]],$D$2))</f>
        <v>0</v>
      </c>
      <c r="Q34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34" s="6"/>
      <c r="T34" s="1" t="e">
        <f>COUNTIFS(#REF!,"="&amp;spk1mk[[#This Row],[L]])</f>
        <v>#REF!</v>
      </c>
      <c r="U34" s="1"/>
      <c r="AS34" s="1"/>
      <c r="AT34" s="1"/>
    </row>
    <row r="35" spans="1:46" ht="11.25" hidden="1" customHeight="1">
      <c r="B35" s="20" t="str">
        <f>IF(spk1mk[[#This Row],[Name]]="","",_xlfn.RANK.EQ(spk1mk[[#This Row],[Result]],_xlnm.Criteria,0))</f>
        <v/>
      </c>
      <c r="E35" s="2"/>
      <c r="F35" s="20"/>
      <c r="G35" s="20"/>
      <c r="H35" s="5">
        <v>0</v>
      </c>
      <c r="I35" s="5"/>
      <c r="J35" s="5">
        <v>0</v>
      </c>
      <c r="K35" s="5">
        <v>0</v>
      </c>
      <c r="L35" s="5">
        <v>0</v>
      </c>
      <c r="M35" s="5"/>
      <c r="N35" s="5">
        <v>0</v>
      </c>
      <c r="O35" s="33">
        <f>SUMPRODUCT(spk1mk[[#This Row],[1]:[8]]*(spk1mk[[#This Row],[1]:[8]]&gt;=spk1mk[[#This Row],[L]]))</f>
        <v>0</v>
      </c>
      <c r="P35" s="16">
        <f>IF(spk1mk[[#This Row],[Name]]="",0,LARGE(spk1mk[[#This Row],[1]:[8]],$D$2))</f>
        <v>0</v>
      </c>
      <c r="Q35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35" s="6"/>
      <c r="T35" s="1" t="e">
        <f>COUNTIFS(#REF!,"="&amp;spk1mk[[#This Row],[L]])</f>
        <v>#REF!</v>
      </c>
      <c r="U35" s="1"/>
      <c r="AS35" s="1"/>
      <c r="AT35" s="1"/>
    </row>
    <row r="36" spans="1:46" ht="11.25" hidden="1" customHeight="1">
      <c r="B36" s="20" t="str">
        <f>IF(spk1mk[[#This Row],[Name]]="","",_xlfn.RANK.EQ(spk1mk[[#This Row],[Result]],_xlnm.Criteria,0))</f>
        <v/>
      </c>
      <c r="E36" s="2"/>
      <c r="F36" s="20"/>
      <c r="G36" s="20"/>
      <c r="H36" s="5">
        <v>0</v>
      </c>
      <c r="I36" s="5"/>
      <c r="J36" s="5">
        <v>0</v>
      </c>
      <c r="K36" s="5">
        <v>0</v>
      </c>
      <c r="L36" s="5">
        <v>0</v>
      </c>
      <c r="M36" s="5"/>
      <c r="N36" s="5">
        <v>0</v>
      </c>
      <c r="O36" s="33">
        <f>SUMPRODUCT(spk1mk[[#This Row],[1]:[8]]*(spk1mk[[#This Row],[1]:[8]]&gt;=spk1mk[[#This Row],[L]]))</f>
        <v>0</v>
      </c>
      <c r="P36" s="16">
        <f>IF(spk1mk[[#This Row],[Name]]="",0,LARGE(spk1mk[[#This Row],[1]:[8]],$D$2))</f>
        <v>0</v>
      </c>
      <c r="Q36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36" s="6"/>
      <c r="T36" s="1" t="e">
        <f>COUNTIFS(#REF!,"="&amp;spk1mk[[#This Row],[L]])</f>
        <v>#REF!</v>
      </c>
      <c r="U36" s="1"/>
      <c r="AS36" s="1"/>
      <c r="AT36" s="1"/>
    </row>
    <row r="37" spans="1:46" ht="11.25" hidden="1" customHeight="1">
      <c r="B37" s="20" t="str">
        <f>IF(spk1mk[[#This Row],[Name]]="","",_xlfn.RANK.EQ(spk1mk[[#This Row],[Result]],_xlnm.Criteria,0))</f>
        <v/>
      </c>
      <c r="E37" s="2"/>
      <c r="F37" s="20"/>
      <c r="G37" s="20"/>
      <c r="H37" s="5">
        <v>0</v>
      </c>
      <c r="I37" s="5"/>
      <c r="J37" s="5">
        <v>0</v>
      </c>
      <c r="K37" s="5">
        <v>0</v>
      </c>
      <c r="L37" s="5">
        <v>0</v>
      </c>
      <c r="M37" s="5"/>
      <c r="N37" s="5">
        <v>0</v>
      </c>
      <c r="O37" s="33">
        <f>SUMPRODUCT(spk1mk[[#This Row],[1]:[8]]*(spk1mk[[#This Row],[1]:[8]]&gt;=spk1mk[[#This Row],[L]]))</f>
        <v>0</v>
      </c>
      <c r="P37" s="16">
        <f>IF(spk1mk[[#This Row],[Name]]="",0,LARGE(spk1mk[[#This Row],[1]:[8]],$D$2))</f>
        <v>0</v>
      </c>
      <c r="Q37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37" s="6"/>
      <c r="T37" s="1" t="e">
        <f>COUNTIFS(#REF!,"="&amp;spk1mk[[#This Row],[L]])</f>
        <v>#REF!</v>
      </c>
      <c r="U37" s="1"/>
      <c r="AS37" s="1"/>
      <c r="AT37" s="1"/>
    </row>
    <row r="38" spans="1:46" ht="11.25" hidden="1" customHeight="1">
      <c r="B38" s="20" t="str">
        <f>IF(spk1mk[[#This Row],[Name]]="","",_xlfn.RANK.EQ(spk1mk[[#This Row],[Result]],_xlnm.Criteria,0))</f>
        <v/>
      </c>
      <c r="E38" s="2"/>
      <c r="F38" s="20"/>
      <c r="G38" s="20"/>
      <c r="H38" s="5">
        <v>0</v>
      </c>
      <c r="I38" s="5"/>
      <c r="J38" s="5">
        <v>0</v>
      </c>
      <c r="K38" s="5">
        <v>0</v>
      </c>
      <c r="L38" s="5">
        <v>0</v>
      </c>
      <c r="M38" s="5"/>
      <c r="N38" s="5">
        <v>0</v>
      </c>
      <c r="O38" s="33">
        <f>SUMPRODUCT(spk1mk[[#This Row],[1]:[8]]*(spk1mk[[#This Row],[1]:[8]]&gt;=spk1mk[[#This Row],[L]]))</f>
        <v>0</v>
      </c>
      <c r="P38" s="16">
        <f>IF(spk1mk[[#This Row],[Name]]="",0,LARGE(spk1mk[[#This Row],[1]:[8]],$D$2))</f>
        <v>0</v>
      </c>
      <c r="Q38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38" s="6"/>
      <c r="T38" s="1" t="e">
        <f>COUNTIFS(#REF!,"="&amp;spk1mk[[#This Row],[L]])</f>
        <v>#REF!</v>
      </c>
      <c r="U38" s="1"/>
      <c r="AS38" s="1"/>
      <c r="AT38" s="1"/>
    </row>
    <row r="39" spans="1:46" ht="11.25" hidden="1" customHeight="1">
      <c r="B39" s="20" t="str">
        <f>IF(spk1mk[[#This Row],[Name]]="","",_xlfn.RANK.EQ(spk1mk[[#This Row],[Result]],_xlnm.Criteria,0))</f>
        <v/>
      </c>
      <c r="E39" s="2"/>
      <c r="F39" s="20"/>
      <c r="G39" s="20"/>
      <c r="H39" s="5">
        <v>0</v>
      </c>
      <c r="I39" s="5"/>
      <c r="J39" s="5">
        <v>0</v>
      </c>
      <c r="K39" s="5">
        <v>0</v>
      </c>
      <c r="L39" s="5">
        <v>0</v>
      </c>
      <c r="M39" s="5"/>
      <c r="N39" s="5">
        <v>0</v>
      </c>
      <c r="O39" s="33">
        <f>SUMPRODUCT(spk1mk[[#This Row],[1]:[8]]*(spk1mk[[#This Row],[1]:[8]]&gt;=spk1mk[[#This Row],[L]]))</f>
        <v>0</v>
      </c>
      <c r="P39" s="16">
        <f>IF(spk1mk[[#This Row],[Name]]="",0,LARGE(spk1mk[[#This Row],[1]:[8]],$D$2))</f>
        <v>0</v>
      </c>
      <c r="Q39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39" s="6"/>
      <c r="T39" s="1" t="e">
        <f>COUNTIFS(#REF!,"="&amp;spk1mk[[#This Row],[L]])</f>
        <v>#REF!</v>
      </c>
      <c r="U39" s="1"/>
      <c r="AS39" s="1"/>
      <c r="AT39" s="1"/>
    </row>
    <row r="40" spans="1:46" ht="11.25" hidden="1" customHeight="1">
      <c r="B40" s="20" t="str">
        <f>IF(spk1mk[[#This Row],[Name]]="","",_xlfn.RANK.EQ(spk1mk[[#This Row],[Result]],_xlnm.Criteria,0))</f>
        <v/>
      </c>
      <c r="E40" s="2"/>
      <c r="F40" s="20"/>
      <c r="G40" s="20"/>
      <c r="H40" s="5">
        <v>0</v>
      </c>
      <c r="I40" s="5"/>
      <c r="J40" s="5">
        <v>0</v>
      </c>
      <c r="K40" s="5">
        <v>0</v>
      </c>
      <c r="L40" s="5">
        <v>0</v>
      </c>
      <c r="M40" s="5"/>
      <c r="N40" s="5">
        <v>0</v>
      </c>
      <c r="O40" s="33">
        <f>SUMPRODUCT(spk1mk[[#This Row],[1]:[8]]*(spk1mk[[#This Row],[1]:[8]]&gt;=spk1mk[[#This Row],[L]]))</f>
        <v>0</v>
      </c>
      <c r="P40" s="16">
        <f>IF(spk1mk[[#This Row],[Name]]="",0,LARGE(spk1mk[[#This Row],[1]:[8]],$D$2))</f>
        <v>0</v>
      </c>
      <c r="Q40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40" s="6"/>
      <c r="T40" s="1" t="e">
        <f>COUNTIFS(#REF!,"="&amp;spk1mk[[#This Row],[L]])</f>
        <v>#REF!</v>
      </c>
      <c r="U40" s="1"/>
      <c r="AS40" s="1"/>
      <c r="AT40" s="1"/>
    </row>
    <row r="41" spans="1:46" customFormat="1" ht="11.25" hidden="1" customHeight="1">
      <c r="A41" s="2"/>
      <c r="B41" s="20" t="str">
        <f>IF(spk1mk[[#This Row],[Name]]="","",_xlfn.RANK.EQ(spk1mk[[#This Row],[Result]],_xlnm.Criteria,0))</f>
        <v/>
      </c>
      <c r="E41" s="7"/>
      <c r="F41" s="20"/>
      <c r="G41" s="20"/>
      <c r="H41" s="5">
        <v>0</v>
      </c>
      <c r="I41" s="5"/>
      <c r="J41" s="5">
        <v>0</v>
      </c>
      <c r="K41" s="5">
        <v>0</v>
      </c>
      <c r="L41" s="5">
        <v>0</v>
      </c>
      <c r="M41" s="5"/>
      <c r="N41" s="5">
        <v>0</v>
      </c>
      <c r="O41" s="33">
        <f>SUMPRODUCT(spk1mk[[#This Row],[1]:[8]]*(spk1mk[[#This Row],[1]:[8]]&gt;=spk1mk[[#This Row],[L]]))</f>
        <v>0</v>
      </c>
      <c r="P41" s="16">
        <f>IF(spk1mk[[#This Row],[Name]]="",0,LARGE(spk1mk[[#This Row],[1]:[8]],$D$2))</f>
        <v>0</v>
      </c>
      <c r="Q41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41" s="6"/>
      <c r="T41" s="1" t="e">
        <f>COUNTIFS(#REF!,"="&amp;spk1mk[[#This Row],[L]])</f>
        <v>#REF!</v>
      </c>
    </row>
    <row r="42" spans="1:46" customFormat="1" ht="11.25" hidden="1" customHeight="1">
      <c r="A42" s="2"/>
      <c r="B42" s="20" t="str">
        <f>IF(spk1mk[[#This Row],[Name]]="","",_xlfn.RANK.EQ(spk1mk[[#This Row],[Result]],_xlnm.Criteria,0))</f>
        <v/>
      </c>
      <c r="E42" s="7"/>
      <c r="F42" s="20"/>
      <c r="G42" s="20"/>
      <c r="H42" s="5">
        <v>0</v>
      </c>
      <c r="I42" s="5"/>
      <c r="J42" s="5">
        <v>0</v>
      </c>
      <c r="K42" s="5">
        <v>0</v>
      </c>
      <c r="L42" s="5">
        <v>0</v>
      </c>
      <c r="M42" s="5"/>
      <c r="N42" s="5">
        <v>0</v>
      </c>
      <c r="O42" s="33">
        <f>SUMPRODUCT(spk1mk[[#This Row],[1]:[8]]*(spk1mk[[#This Row],[1]:[8]]&gt;=spk1mk[[#This Row],[L]]))</f>
        <v>0</v>
      </c>
      <c r="P42" s="16">
        <f>IF(spk1mk[[#This Row],[Name]]="",0,LARGE(spk1mk[[#This Row],[1]:[8]],$D$2))</f>
        <v>0</v>
      </c>
      <c r="Q42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42" s="6"/>
      <c r="T42" s="1" t="e">
        <f>COUNTIFS(#REF!,"="&amp;spk1mk[[#This Row],[L]])</f>
        <v>#REF!</v>
      </c>
    </row>
    <row r="43" spans="1:46" customFormat="1" ht="11.25" hidden="1" customHeight="1">
      <c r="A43" s="2"/>
      <c r="B43" s="20" t="str">
        <f>IF(spk1mk[[#This Row],[Name]]="","",_xlfn.RANK.EQ(spk1mk[[#This Row],[Result]],_xlnm.Criteria,0))</f>
        <v/>
      </c>
      <c r="E43" s="7"/>
      <c r="F43" s="20"/>
      <c r="G43" s="20"/>
      <c r="H43" s="5">
        <v>0</v>
      </c>
      <c r="I43" s="5"/>
      <c r="J43" s="5">
        <v>0</v>
      </c>
      <c r="K43" s="5">
        <v>0</v>
      </c>
      <c r="L43" s="5">
        <v>0</v>
      </c>
      <c r="M43" s="5"/>
      <c r="N43" s="5">
        <v>0</v>
      </c>
      <c r="O43" s="33">
        <f>SUMPRODUCT(spk1mk[[#This Row],[1]:[8]]*(spk1mk[[#This Row],[1]:[8]]&gt;=spk1mk[[#This Row],[L]]))</f>
        <v>0</v>
      </c>
      <c r="P43" s="16">
        <f>IF(spk1mk[[#This Row],[Name]]="",0,LARGE(spk1mk[[#This Row],[1]:[8]],$D$2))</f>
        <v>0</v>
      </c>
      <c r="Q43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43" s="6"/>
      <c r="T43" s="1" t="e">
        <f>COUNTIFS(#REF!,"="&amp;spk1mk[[#This Row],[L]])</f>
        <v>#REF!</v>
      </c>
    </row>
    <row r="44" spans="1:46" customFormat="1" ht="11.25" hidden="1" customHeight="1">
      <c r="A44" s="2"/>
      <c r="B44" s="20" t="str">
        <f>IF(spk1mk[[#This Row],[Name]]="","",_xlfn.RANK.EQ(spk1mk[[#This Row],[Result]],_xlnm.Criteria,0))</f>
        <v/>
      </c>
      <c r="E44" s="7"/>
      <c r="F44" s="20"/>
      <c r="G44" s="20"/>
      <c r="H44" s="5">
        <v>0</v>
      </c>
      <c r="I44" s="5"/>
      <c r="J44" s="5">
        <v>0</v>
      </c>
      <c r="K44" s="5">
        <v>0</v>
      </c>
      <c r="L44" s="5">
        <v>0</v>
      </c>
      <c r="M44" s="5"/>
      <c r="N44" s="5">
        <v>0</v>
      </c>
      <c r="O44" s="33">
        <f>SUMPRODUCT(spk1mk[[#This Row],[1]:[8]]*(spk1mk[[#This Row],[1]:[8]]&gt;=spk1mk[[#This Row],[L]]))</f>
        <v>0</v>
      </c>
      <c r="P44" s="16">
        <f>IF(spk1mk[[#This Row],[Name]]="",0,LARGE(spk1mk[[#This Row],[1]:[8]],$D$2))</f>
        <v>0</v>
      </c>
      <c r="Q44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44" s="6"/>
      <c r="T44" s="1" t="e">
        <f>COUNTIFS(#REF!,"="&amp;spk1mk[[#This Row],[L]])</f>
        <v>#REF!</v>
      </c>
    </row>
    <row r="45" spans="1:46" ht="11.25" hidden="1" customHeight="1">
      <c r="B45" s="20" t="str">
        <f>IF(spk1mk[[#This Row],[Name]]="","",_xlfn.RANK.EQ(spk1mk[[#This Row],[Result]],_xlnm.Criteria,0))</f>
        <v/>
      </c>
      <c r="E45" s="2"/>
      <c r="F45" s="20"/>
      <c r="G45" s="20"/>
      <c r="H45" s="5">
        <v>0</v>
      </c>
      <c r="I45" s="5"/>
      <c r="J45" s="5">
        <v>0</v>
      </c>
      <c r="K45" s="5">
        <v>0</v>
      </c>
      <c r="L45" s="5">
        <v>0</v>
      </c>
      <c r="M45" s="5"/>
      <c r="N45" s="5">
        <v>0</v>
      </c>
      <c r="O45" s="33">
        <f>SUMPRODUCT(spk1mk[[#This Row],[1]:[8]]*(spk1mk[[#This Row],[1]:[8]]&gt;=spk1mk[[#This Row],[L]]))</f>
        <v>0</v>
      </c>
      <c r="P45" s="16">
        <f>IF(spk1mk[[#This Row],[Name]]="",0,LARGE(spk1mk[[#This Row],[1]:[8]],$D$2))</f>
        <v>0</v>
      </c>
      <c r="Q45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45" s="6"/>
      <c r="T45" s="1" t="e">
        <f>COUNTIFS(#REF!,"="&amp;spk1mk[[#This Row],[L]])</f>
        <v>#REF!</v>
      </c>
      <c r="U45" s="1"/>
      <c r="AS45" s="1"/>
      <c r="AT45" s="1"/>
    </row>
    <row r="46" spans="1:46" ht="11.25" hidden="1" customHeight="1">
      <c r="B46" s="20" t="str">
        <f>IF(spk1mk[[#This Row],[Name]]="","",_xlfn.RANK.EQ(spk1mk[[#This Row],[Result]],_xlnm.Criteria,0))</f>
        <v/>
      </c>
      <c r="E46" s="2"/>
      <c r="F46" s="20"/>
      <c r="G46" s="20"/>
      <c r="H46" s="5">
        <v>0</v>
      </c>
      <c r="I46" s="5"/>
      <c r="J46" s="5">
        <v>0</v>
      </c>
      <c r="K46" s="5">
        <v>0</v>
      </c>
      <c r="L46" s="5">
        <v>0</v>
      </c>
      <c r="M46" s="5"/>
      <c r="N46" s="5">
        <v>0</v>
      </c>
      <c r="O46" s="33">
        <f>SUMPRODUCT(spk1mk[[#This Row],[1]:[8]]*(spk1mk[[#This Row],[1]:[8]]&gt;=spk1mk[[#This Row],[L]]))</f>
        <v>0</v>
      </c>
      <c r="P46" s="16">
        <f>IF(spk1mk[[#This Row],[Name]]="",0,LARGE(spk1mk[[#This Row],[1]:[8]],$D$2))</f>
        <v>0</v>
      </c>
      <c r="Q46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46" s="6"/>
      <c r="T46" s="1" t="e">
        <f>COUNTIFS(#REF!,"="&amp;spk1mk[[#This Row],[L]])</f>
        <v>#REF!</v>
      </c>
      <c r="U46" s="1"/>
      <c r="AS46" s="1"/>
      <c r="AT46" s="1"/>
    </row>
    <row r="47" spans="1:46" ht="11.25" hidden="1" customHeight="1">
      <c r="B47" s="20" t="str">
        <f>IF(spk1mk[[#This Row],[Name]]="","",_xlfn.RANK.EQ(spk1mk[[#This Row],[Result]],_xlnm.Criteria,0))</f>
        <v/>
      </c>
      <c r="E47" s="2"/>
      <c r="F47" s="20"/>
      <c r="G47" s="20"/>
      <c r="H47" s="5">
        <v>0</v>
      </c>
      <c r="I47" s="5"/>
      <c r="J47" s="5">
        <v>0</v>
      </c>
      <c r="K47" s="5">
        <v>0</v>
      </c>
      <c r="L47" s="5">
        <v>0</v>
      </c>
      <c r="M47" s="5"/>
      <c r="N47" s="5">
        <v>0</v>
      </c>
      <c r="O47" s="33">
        <f>SUMPRODUCT(spk1mk[[#This Row],[1]:[8]]*(spk1mk[[#This Row],[1]:[8]]&gt;=spk1mk[[#This Row],[L]]))</f>
        <v>0</v>
      </c>
      <c r="P47" s="16">
        <f>IF(spk1mk[[#This Row],[Name]]="",0,LARGE(spk1mk[[#This Row],[1]:[8]],$D$2))</f>
        <v>0</v>
      </c>
      <c r="Q47" s="91" t="str">
        <f>IF(OR((COUNTIFS(spk1mk[[#This Row],[1]:[8]],"="&amp;spk1mk[[#This Row],[L]])=8),(COUNTIFS(spk1mk[[#This Row],[1]:[8]],"="&amp;spk1mk[[#This Row],[L]])&lt;2)),"OK","Fehler (zu wenig Streicher) [Gleiche Werte jeweils um 0,1 erhöhen]")</f>
        <v>Fehler (zu wenig Streicher) [Gleiche Werte jeweils um 0,1 erhöhen]</v>
      </c>
      <c r="R47" s="6"/>
      <c r="T47" s="1" t="e">
        <f>COUNTIFS(#REF!,"="&amp;spk1mk[[#This Row],[L]])</f>
        <v>#REF!</v>
      </c>
      <c r="U47" s="1"/>
      <c r="AS47" s="1"/>
      <c r="AT47" s="1"/>
    </row>
    <row r="48" spans="1:46">
      <c r="V48" s="6"/>
    </row>
    <row r="49" spans="1:46">
      <c r="V49" s="6"/>
    </row>
    <row r="50" spans="1:46" ht="15" customHeight="1">
      <c r="P50" s="174" t="s">
        <v>17</v>
      </c>
      <c r="V50" s="6"/>
    </row>
    <row r="51" spans="1:46" ht="24.95" customHeight="1" thickBot="1">
      <c r="A51" s="176" t="s">
        <v>40</v>
      </c>
      <c r="B51" s="177"/>
      <c r="C51" s="177"/>
      <c r="D51" s="177"/>
      <c r="E51" s="177"/>
      <c r="F51" s="177"/>
      <c r="G51" s="178"/>
      <c r="H51" s="179"/>
      <c r="I51" s="180"/>
      <c r="J51" s="181"/>
      <c r="K51" s="180"/>
      <c r="L51" s="181"/>
      <c r="M51" s="182"/>
      <c r="N51" s="183"/>
      <c r="O51" s="46"/>
      <c r="P51" s="175"/>
      <c r="Q51" s="17"/>
      <c r="R51" s="6"/>
      <c r="U51" s="1"/>
      <c r="AO51" s="4"/>
      <c r="AP51" s="4"/>
      <c r="AS51" s="1"/>
      <c r="AT51" s="1"/>
    </row>
    <row r="52" spans="1:46">
      <c r="A52" s="40" t="s">
        <v>19</v>
      </c>
      <c r="B52" s="41" t="s">
        <v>20</v>
      </c>
      <c r="C52" s="41" t="s">
        <v>21</v>
      </c>
      <c r="D52" s="41" t="s">
        <v>22</v>
      </c>
      <c r="E52" s="41" t="s">
        <v>23</v>
      </c>
      <c r="F52" s="41" t="s">
        <v>24</v>
      </c>
      <c r="G52" s="41" t="s">
        <v>25</v>
      </c>
      <c r="H52" s="41" t="s">
        <v>26</v>
      </c>
      <c r="I52" s="41" t="s">
        <v>27</v>
      </c>
      <c r="J52" s="41" t="s">
        <v>28</v>
      </c>
      <c r="K52" s="41" t="s">
        <v>29</v>
      </c>
      <c r="L52" s="41" t="s">
        <v>30</v>
      </c>
      <c r="M52" s="41" t="s">
        <v>31</v>
      </c>
      <c r="N52" s="41" t="s">
        <v>32</v>
      </c>
      <c r="O52" s="43" t="s">
        <v>33</v>
      </c>
      <c r="P52" s="83" t="s">
        <v>34</v>
      </c>
      <c r="Q52" s="17" t="s">
        <v>35</v>
      </c>
      <c r="R52" s="6"/>
      <c r="U52" s="1"/>
      <c r="AO52" s="4"/>
      <c r="AP52" s="4"/>
      <c r="AS52" s="1"/>
      <c r="AT52" s="1"/>
    </row>
    <row r="53" spans="1:46">
      <c r="A53" s="32"/>
      <c r="B53" s="20">
        <f>IF(spk1wk[[#This Row],[Name]]="","",_xlfn.RANK.EQ(spk1wk[[#This Row],[Result]],spk1wk[Result],0))</f>
        <v>1</v>
      </c>
      <c r="C53" s="1" t="s">
        <v>41</v>
      </c>
      <c r="D53" s="1" t="s">
        <v>42</v>
      </c>
      <c r="E53" s="2" t="s">
        <v>43</v>
      </c>
      <c r="F53" s="20" t="s">
        <v>39</v>
      </c>
      <c r="G53" s="5">
        <v>0</v>
      </c>
      <c r="H53" s="5">
        <v>1E-3</v>
      </c>
      <c r="I53" s="5">
        <v>2E-3</v>
      </c>
      <c r="J53" s="5">
        <v>3.0000000000000001E-3</v>
      </c>
      <c r="K53" s="5">
        <v>4.0000000000000001E-3</v>
      </c>
      <c r="L53" s="5">
        <v>5.0000000000000001E-3</v>
      </c>
      <c r="M53" s="5">
        <v>25</v>
      </c>
      <c r="N53" s="5">
        <v>25</v>
      </c>
      <c r="O53" s="33">
        <f>SUMPRODUCT(spk1wk[[#This Row],[1]:[8]]*(spk1wk[[#This Row],[1]:[8]]&gt;=spk1wk[[#This Row],[L]]))</f>
        <v>50.013999999999996</v>
      </c>
      <c r="P53" s="98">
        <f>IF(spk1wk[[#This Row],[Name]]="",0,LARGE(spk1wk[[#This Row],[1]:[8]],$D$2))</f>
        <v>2E-3</v>
      </c>
      <c r="Q53" s="92" t="str">
        <f>IF(OR((COUNTIFS(spk1wk[[#This Row],[1]:[8]],"="&amp;spk1wk[[#This Row],[L]])=8),(COUNTIFS(spk1wk[[#This Row],[1]:[8]],"="&amp;spk1wk[[#This Row],[L]])&lt;2)),"OK","Fehler (zu wenig Streicher) [Gleiche Werte jeweils um 0,1 erhöhen]")</f>
        <v>OK</v>
      </c>
      <c r="R53" s="6"/>
      <c r="U53" s="1"/>
      <c r="AO53" s="4"/>
      <c r="AP53" s="4"/>
      <c r="AS53" s="1"/>
      <c r="AT53" s="1"/>
    </row>
    <row r="54" spans="1:46">
      <c r="A54" s="32"/>
      <c r="B54" s="20">
        <f>IF(spk1wk[[#This Row],[Name]]="","",_xlfn.RANK.EQ(spk1wk[[#This Row],[Result]],spk1wk[Result],0))</f>
        <v>2</v>
      </c>
      <c r="C54" s="1" t="s">
        <v>44</v>
      </c>
      <c r="D54" s="1" t="s">
        <v>45</v>
      </c>
      <c r="E54" s="2" t="s">
        <v>43</v>
      </c>
      <c r="F54" s="20" t="s">
        <v>39</v>
      </c>
      <c r="G54" s="5">
        <v>0</v>
      </c>
      <c r="H54" s="5">
        <v>1E-3</v>
      </c>
      <c r="I54" s="5">
        <v>2E-3</v>
      </c>
      <c r="J54" s="5">
        <v>3.0000000000000001E-3</v>
      </c>
      <c r="K54" s="5">
        <v>4.0000000000000001E-3</v>
      </c>
      <c r="L54" s="5">
        <v>5.0000000000000001E-3</v>
      </c>
      <c r="M54" s="5">
        <v>20</v>
      </c>
      <c r="N54" s="5">
        <v>20</v>
      </c>
      <c r="O54" s="33">
        <f>SUMPRODUCT(spk1wk[[#This Row],[1]:[8]]*(spk1wk[[#This Row],[1]:[8]]&gt;=spk1wk[[#This Row],[L]]))</f>
        <v>40.013999999999996</v>
      </c>
      <c r="P54" s="98">
        <f>IF(spk1wk[[#This Row],[Name]]="",0,LARGE(spk1wk[[#This Row],[1]:[8]],$D$2))</f>
        <v>2E-3</v>
      </c>
      <c r="Q54" s="92" t="str">
        <f>IF(OR((COUNTIFS(spk1wk[[#This Row],[1]:[8]],"="&amp;spk1wk[[#This Row],[L]])=8),(COUNTIFS(spk1wk[[#This Row],[1]:[8]],"="&amp;spk1wk[[#This Row],[L]])&lt;2)),"OK","Fehler (zu wenig Streicher) [Gleiche Werte jeweils um 0,1 erhöhen]")</f>
        <v>OK</v>
      </c>
      <c r="U54" s="1"/>
      <c r="AO54" s="4"/>
      <c r="AP54" s="4"/>
      <c r="AS54" s="1"/>
      <c r="AT54" s="1"/>
    </row>
    <row r="55" spans="1:46">
      <c r="A55" s="32"/>
      <c r="B55" s="20">
        <f>IF(spk1wk[[#This Row],[Name]]="","",_xlfn.RANK.EQ(spk1wk[[#This Row],[Result]],spk1wk[Result],0))</f>
        <v>3</v>
      </c>
      <c r="C55" s="1" t="s">
        <v>46</v>
      </c>
      <c r="D55" s="1" t="s">
        <v>45</v>
      </c>
      <c r="E55" s="2" t="s">
        <v>43</v>
      </c>
      <c r="F55" s="20" t="s">
        <v>39</v>
      </c>
      <c r="G55" s="5">
        <v>0</v>
      </c>
      <c r="H55" s="5">
        <v>1E-3</v>
      </c>
      <c r="I55" s="5">
        <v>2E-3</v>
      </c>
      <c r="J55" s="5">
        <v>3.0000000000000001E-3</v>
      </c>
      <c r="K55" s="5">
        <v>4.0000000000000001E-3</v>
      </c>
      <c r="L55" s="5">
        <v>5.0000000000000001E-3</v>
      </c>
      <c r="M55" s="5">
        <v>15</v>
      </c>
      <c r="N55" s="5">
        <v>15</v>
      </c>
      <c r="O55" s="33">
        <f>SUMPRODUCT(spk1wk[[#This Row],[1]:[8]]*(spk1wk[[#This Row],[1]:[8]]&gt;=spk1wk[[#This Row],[L]]))</f>
        <v>30.013999999999999</v>
      </c>
      <c r="P55" s="98">
        <f>IF(spk1wk[[#This Row],[Name]]="",0,LARGE(spk1wk[[#This Row],[1]:[8]],$D$2))</f>
        <v>2E-3</v>
      </c>
      <c r="Q55" s="92" t="str">
        <f>IF(OR((COUNTIFS(spk1wk[[#This Row],[1]:[8]],"="&amp;spk1wk[[#This Row],[L]])=8),(COUNTIFS(spk1wk[[#This Row],[1]:[8]],"="&amp;spk1wk[[#This Row],[L]])&lt;2)),"OK","Fehler (zu wenig Streicher) [Gleiche Werte jeweils um 0,1 erhöhen]")</f>
        <v>OK</v>
      </c>
      <c r="U55" s="1"/>
      <c r="AO55" s="4"/>
      <c r="AP55" s="4"/>
      <c r="AS55" s="1"/>
      <c r="AT55" s="1"/>
    </row>
    <row r="56" spans="1:46" hidden="1">
      <c r="A56" s="32"/>
      <c r="B56" s="20" t="str">
        <f>IF(spk1wk[[#This Row],[Name]]="","",_xlfn.RANK.EQ(spk1wk[[#This Row],[Result]],spk1wk[Result],0))</f>
        <v/>
      </c>
      <c r="E56" s="2"/>
      <c r="F56" s="20"/>
      <c r="G56" s="5">
        <v>0</v>
      </c>
      <c r="H56" s="5">
        <v>1E-3</v>
      </c>
      <c r="I56" s="5">
        <v>2E-3</v>
      </c>
      <c r="J56" s="5">
        <v>3.0000000000000001E-3</v>
      </c>
      <c r="K56" s="5">
        <v>4.0000000000000001E-3</v>
      </c>
      <c r="L56" s="5">
        <v>5.0000000000000001E-3</v>
      </c>
      <c r="M56" s="5">
        <v>7.0000000000000001E-3</v>
      </c>
      <c r="N56" s="5">
        <v>8.0000000000000002E-3</v>
      </c>
      <c r="O56" s="33">
        <f>SUMPRODUCT(spk1wk[[#This Row],[1]:[8]]*(spk1wk[[#This Row],[1]:[8]]&gt;=spk1wk[[#This Row],[L]]))</f>
        <v>0.03</v>
      </c>
      <c r="P56" s="98">
        <f>IF(spk1wk[[#This Row],[Name]]="",0,LARGE(spk1wk[[#This Row],[1]:[8]],$D$2))</f>
        <v>0</v>
      </c>
      <c r="Q56" s="92" t="str">
        <f>IF(OR((COUNTIFS(spk1wk[[#This Row],[1]:[8]],"="&amp;spk1wk[[#This Row],[L]])=8),(COUNTIFS(spk1wk[[#This Row],[1]:[8]],"="&amp;spk1wk[[#This Row],[L]])&lt;2)),"OK","Fehler (zu wenig Streicher) [Gleiche Werte jeweils um 0,1 erhöhen]")</f>
        <v>OK</v>
      </c>
      <c r="U56" s="1"/>
      <c r="AO56" s="4"/>
      <c r="AP56" s="4"/>
      <c r="AS56" s="1"/>
      <c r="AT56" s="1"/>
    </row>
    <row r="57" spans="1:46" hidden="1">
      <c r="A57" s="32"/>
      <c r="B57" s="20" t="str">
        <f>IF(spk1wk[[#This Row],[Name]]="","",_xlfn.RANK.EQ(spk1wk[[#This Row],[Result]],spk1wk[Result],0))</f>
        <v/>
      </c>
      <c r="E57" s="2"/>
      <c r="F57" s="20"/>
      <c r="G57" s="5">
        <v>0</v>
      </c>
      <c r="H57" s="5">
        <v>1E-3</v>
      </c>
      <c r="I57" s="5">
        <v>2E-3</v>
      </c>
      <c r="J57" s="5">
        <v>3.0000000000000001E-3</v>
      </c>
      <c r="K57" s="5">
        <v>4.0000000000000001E-3</v>
      </c>
      <c r="L57" s="5">
        <v>5.0000000000000001E-3</v>
      </c>
      <c r="M57" s="5">
        <v>7.0000000000000001E-3</v>
      </c>
      <c r="N57" s="5">
        <v>8.0000000000000002E-3</v>
      </c>
      <c r="O57" s="33">
        <f>SUMPRODUCT(spk1wk[[#This Row],[1]:[8]]*(spk1wk[[#This Row],[1]:[8]]&gt;=spk1wk[[#This Row],[L]]))</f>
        <v>0.03</v>
      </c>
      <c r="P57" s="98">
        <f>IF(spk1wk[[#This Row],[Name]]="",0,LARGE(spk1wk[[#This Row],[1]:[8]],$D$2))</f>
        <v>0</v>
      </c>
      <c r="Q57" s="92" t="str">
        <f>IF(OR((COUNTIFS(spk1wk[[#This Row],[1]:[8]],"="&amp;spk1wk[[#This Row],[L]])=8),(COUNTIFS(spk1wk[[#This Row],[1]:[8]],"="&amp;spk1wk[[#This Row],[L]])&lt;2)),"OK","Fehler (zu wenig Streicher) [Gleiche Werte jeweils um 0,1 erhöhen]")</f>
        <v>OK</v>
      </c>
      <c r="U57" s="1"/>
      <c r="AO57" s="4"/>
      <c r="AP57" s="4"/>
      <c r="AS57" s="1"/>
      <c r="AT57" s="1"/>
    </row>
    <row r="58" spans="1:46" hidden="1">
      <c r="A58" s="32"/>
      <c r="B58" s="20" t="str">
        <f>IF(spk1wk[[#This Row],[Name]]="","",_xlfn.RANK.EQ(spk1wk[[#This Row],[Result]],spk1wk[Result],0))</f>
        <v/>
      </c>
      <c r="E58" s="2"/>
      <c r="F58" s="20"/>
      <c r="G58" s="5">
        <v>0</v>
      </c>
      <c r="H58" s="5">
        <v>1E-3</v>
      </c>
      <c r="I58" s="5">
        <v>2E-3</v>
      </c>
      <c r="J58" s="5">
        <v>3.0000000000000001E-3</v>
      </c>
      <c r="K58" s="5">
        <v>4.0000000000000001E-3</v>
      </c>
      <c r="L58" s="5">
        <v>5.0000000000000001E-3</v>
      </c>
      <c r="M58" s="5">
        <v>7.0000000000000001E-3</v>
      </c>
      <c r="N58" s="5">
        <v>8.0000000000000002E-3</v>
      </c>
      <c r="O58" s="33">
        <f>SUMPRODUCT(spk1wk[[#This Row],[1]:[8]]*(spk1wk[[#This Row],[1]:[8]]&gt;=spk1wk[[#This Row],[L]]))</f>
        <v>0.03</v>
      </c>
      <c r="P58" s="98">
        <f>IF(spk1wk[[#This Row],[Name]]="",0,LARGE(spk1wk[[#This Row],[1]:[8]],$D$2))</f>
        <v>0</v>
      </c>
      <c r="Q58" s="92" t="str">
        <f>IF(OR((COUNTIFS(spk1wk[[#This Row],[1]:[8]],"="&amp;spk1wk[[#This Row],[L]])=8),(COUNTIFS(spk1wk[[#This Row],[1]:[8]],"="&amp;spk1wk[[#This Row],[L]])&lt;2)),"OK","Fehler (zu wenig Streicher) [Gleiche Werte jeweils um 0,1 erhöhen]")</f>
        <v>OK</v>
      </c>
      <c r="U58" s="1"/>
      <c r="AO58" s="4"/>
      <c r="AP58" s="4"/>
      <c r="AS58" s="1"/>
      <c r="AT58" s="1"/>
    </row>
    <row r="59" spans="1:46" hidden="1">
      <c r="A59" s="32"/>
      <c r="B59" s="20" t="str">
        <f>IF(spk1wk[[#This Row],[Name]]="","",_xlfn.RANK.EQ(spk1wk[[#This Row],[Result]],spk1wk[Result],0))</f>
        <v/>
      </c>
      <c r="E59" s="2"/>
      <c r="F59" s="20"/>
      <c r="G59" s="5">
        <v>0</v>
      </c>
      <c r="H59" s="5">
        <v>1E-3</v>
      </c>
      <c r="I59" s="5">
        <v>2E-3</v>
      </c>
      <c r="J59" s="5">
        <v>3.0000000000000001E-3</v>
      </c>
      <c r="K59" s="5">
        <v>4.0000000000000001E-3</v>
      </c>
      <c r="L59" s="5">
        <v>5.0000000000000001E-3</v>
      </c>
      <c r="M59" s="5">
        <v>7.0000000000000001E-3</v>
      </c>
      <c r="N59" s="5">
        <v>8.0000000000000002E-3</v>
      </c>
      <c r="O59" s="33">
        <f>SUMPRODUCT(spk1wk[[#This Row],[1]:[8]]*(spk1wk[[#This Row],[1]:[8]]&gt;=spk1wk[[#This Row],[L]]))</f>
        <v>0.03</v>
      </c>
      <c r="P59" s="98">
        <f>IF(spk1wk[[#This Row],[Name]]="",0,LARGE(spk1wk[[#This Row],[1]:[8]],$D$2))</f>
        <v>0</v>
      </c>
      <c r="Q59" s="92" t="str">
        <f>IF(OR((COUNTIFS(spk1wk[[#This Row],[1]:[8]],"="&amp;spk1wk[[#This Row],[L]])=8),(COUNTIFS(spk1wk[[#This Row],[1]:[8]],"="&amp;spk1wk[[#This Row],[L]])&lt;2)),"OK","Fehler (zu wenig Streicher) [Gleiche Werte jeweils um 0,1 erhöhen]")</f>
        <v>OK</v>
      </c>
      <c r="U59" s="1"/>
      <c r="AO59" s="4"/>
      <c r="AP59" s="4"/>
      <c r="AS59" s="1"/>
      <c r="AT59" s="1"/>
    </row>
    <row r="60" spans="1:46" hidden="1">
      <c r="A60" s="32"/>
      <c r="B60" s="20" t="str">
        <f>IF(spk1wk[[#This Row],[Name]]="","",_xlfn.RANK.EQ(spk1wk[[#This Row],[Result]],spk1wk[Result],0))</f>
        <v/>
      </c>
      <c r="E60" s="2"/>
      <c r="F60" s="20"/>
      <c r="G60" s="5">
        <v>0</v>
      </c>
      <c r="H60" s="5">
        <v>1E-3</v>
      </c>
      <c r="I60" s="5">
        <v>2E-3</v>
      </c>
      <c r="J60" s="5">
        <v>3.0000000000000001E-3</v>
      </c>
      <c r="K60" s="5">
        <v>4.0000000000000001E-3</v>
      </c>
      <c r="L60" s="5">
        <v>5.0000000000000001E-3</v>
      </c>
      <c r="M60" s="5">
        <v>7.0000000000000001E-3</v>
      </c>
      <c r="N60" s="5">
        <v>8.0000000000000002E-3</v>
      </c>
      <c r="O60" s="33">
        <f>SUMPRODUCT(spk1wk[[#This Row],[1]:[8]]*(spk1wk[[#This Row],[1]:[8]]&gt;=spk1wk[[#This Row],[L]]))</f>
        <v>0.03</v>
      </c>
      <c r="P60" s="98">
        <f>IF(spk1wk[[#This Row],[Name]]="",0,LARGE(spk1wk[[#This Row],[1]:[8]],$D$2))</f>
        <v>0</v>
      </c>
      <c r="Q60" s="92" t="str">
        <f>IF(OR((COUNTIFS(spk1wk[[#This Row],[1]:[8]],"="&amp;spk1wk[[#This Row],[L]])=8),(COUNTIFS(spk1wk[[#This Row],[1]:[8]],"="&amp;spk1wk[[#This Row],[L]])&lt;2)),"OK","Fehler (zu wenig Streicher) [Gleiche Werte jeweils um 0,1 erhöhen]")</f>
        <v>OK</v>
      </c>
      <c r="U60" s="1"/>
      <c r="AO60" s="4"/>
      <c r="AP60" s="4"/>
      <c r="AS60" s="1"/>
      <c r="AT60" s="1"/>
    </row>
    <row r="61" spans="1:46" hidden="1">
      <c r="B61" s="20" t="str">
        <f>IF(spk1wk[[#This Row],[Name]]="","",_xlfn.RANK.EQ(spk1wk[[#This Row],[Result]],spk1wk[Result],0))</f>
        <v/>
      </c>
      <c r="E61" s="2"/>
      <c r="F61" s="20"/>
      <c r="G61" s="5">
        <v>0</v>
      </c>
      <c r="H61" s="5">
        <v>1E-3</v>
      </c>
      <c r="I61" s="5">
        <v>2E-3</v>
      </c>
      <c r="J61" s="5">
        <v>3.0000000000000001E-3</v>
      </c>
      <c r="K61" s="5">
        <v>4.0000000000000001E-3</v>
      </c>
      <c r="L61" s="5">
        <v>5.0000000000000001E-3</v>
      </c>
      <c r="M61" s="5">
        <v>7.0000000000000001E-3</v>
      </c>
      <c r="N61" s="5">
        <v>8.0000000000000002E-3</v>
      </c>
      <c r="O61" s="33">
        <f>SUMPRODUCT(spk1wk[[#This Row],[1]:[8]]*(spk1wk[[#This Row],[1]:[8]]&gt;=spk1wk[[#This Row],[L]]))</f>
        <v>0.03</v>
      </c>
      <c r="P61" s="96">
        <f>IF(spk1wk[[#This Row],[Name]]="",0,LARGE(spk1wk[[#This Row],[1]:[8]],$D$2))</f>
        <v>0</v>
      </c>
      <c r="Q61" s="92" t="str">
        <f>IF(OR((COUNTIFS(spk1wk[[#This Row],[1]:[8]],"="&amp;spk1wk[[#This Row],[L]])=8),(COUNTIFS(spk1wk[[#This Row],[1]:[8]],"="&amp;spk1wk[[#This Row],[L]])&lt;2)),"OK","Fehler (zu wenig Streicher) [Gleiche Werte jeweils um 0,1 erhöhen]")</f>
        <v>OK</v>
      </c>
      <c r="U61" s="1"/>
      <c r="AO61" s="4"/>
      <c r="AP61" s="4"/>
      <c r="AS61" s="1"/>
      <c r="AT61" s="1"/>
    </row>
  </sheetData>
  <mergeCells count="29">
    <mergeCell ref="D1:O1"/>
    <mergeCell ref="A1:C1"/>
    <mergeCell ref="AP1:AR1"/>
    <mergeCell ref="A2:C5"/>
    <mergeCell ref="D2:F5"/>
    <mergeCell ref="G2:H2"/>
    <mergeCell ref="I2:J2"/>
    <mergeCell ref="K2:L2"/>
    <mergeCell ref="M2:N2"/>
    <mergeCell ref="G3:H3"/>
    <mergeCell ref="I3:J3"/>
    <mergeCell ref="K3:L3"/>
    <mergeCell ref="M3:N3"/>
    <mergeCell ref="G4:H4"/>
    <mergeCell ref="I4:J4"/>
    <mergeCell ref="K4:L4"/>
    <mergeCell ref="M4:N4"/>
    <mergeCell ref="P5:P6"/>
    <mergeCell ref="A6:F6"/>
    <mergeCell ref="G6:H6"/>
    <mergeCell ref="I6:J6"/>
    <mergeCell ref="K6:L6"/>
    <mergeCell ref="M6:N6"/>
    <mergeCell ref="P50:P51"/>
    <mergeCell ref="A51:F51"/>
    <mergeCell ref="G51:H51"/>
    <mergeCell ref="I51:J51"/>
    <mergeCell ref="K51:L51"/>
    <mergeCell ref="M51:N51"/>
  </mergeCells>
  <conditionalFormatting sqref="G53:N61">
    <cfRule type="expression" dxfId="417" priority="8">
      <formula>G53&lt;=$P53</formula>
    </cfRule>
  </conditionalFormatting>
  <conditionalFormatting sqref="G53:P61">
    <cfRule type="expression" dxfId="416" priority="5">
      <formula>G53&lt;1</formula>
    </cfRule>
  </conditionalFormatting>
  <conditionalFormatting sqref="G8:N19">
    <cfRule type="expression" dxfId="415" priority="4">
      <formula>G8&lt;($P8)</formula>
    </cfRule>
  </conditionalFormatting>
  <conditionalFormatting sqref="G8:O19">
    <cfRule type="expression" dxfId="414" priority="3">
      <formula>G8&gt;=$P8</formula>
    </cfRule>
  </conditionalFormatting>
  <conditionalFormatting sqref="G8:P19">
    <cfRule type="expression" dxfId="413" priority="2">
      <formula>G8&lt;1</formula>
    </cfRule>
  </conditionalFormatting>
  <conditionalFormatting sqref="G53:O61">
    <cfRule type="expression" dxfId="412" priority="6">
      <formula>G53&gt;=$T53</formula>
    </cfRule>
  </conditionalFormatting>
  <pageMargins left="0.70866141732283472" right="0.70866141732283472" top="0.78740157480314965" bottom="0.78740157480314965" header="0.31496062992125984" footer="0.31496062992125984"/>
  <pageSetup paperSize="9" scale="68" fitToHeight="3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C4BE2-BF3B-48CF-B2B1-91E29D1DDF08}">
  <sheetPr codeName="Tabelle2"/>
  <dimension ref="A1:AR34"/>
  <sheetViews>
    <sheetView topLeftCell="A3" zoomScaleNormal="100" workbookViewId="0">
      <selection activeCell="R11" sqref="R11"/>
    </sheetView>
  </sheetViews>
  <sheetFormatPr defaultColWidth="11.42578125" defaultRowHeight="11.25"/>
  <cols>
    <col min="1" max="2" width="5.7109375" style="2" customWidth="1"/>
    <col min="3" max="4" width="15.7109375" style="1" customWidth="1"/>
    <col min="5" max="5" width="15.7109375" style="20" customWidth="1"/>
    <col min="6" max="6" width="4.7109375" style="2" customWidth="1"/>
    <col min="7" max="11" width="7.7109375" style="2" customWidth="1"/>
    <col min="12" max="14" width="7.7109375" style="1" customWidth="1"/>
    <col min="15" max="15" width="5.7109375" style="17" customWidth="1"/>
    <col min="16" max="16" width="6.7109375" style="1" customWidth="1"/>
    <col min="17" max="41" width="3.28515625" style="1" customWidth="1"/>
    <col min="42" max="42" width="6.42578125" style="4" customWidth="1"/>
    <col min="43" max="43" width="3.28515625" style="4" customWidth="1"/>
    <col min="44" max="44" width="11.42578125" style="1"/>
    <col min="45" max="45" width="8.7109375" style="1" customWidth="1"/>
    <col min="46" max="46" width="6.85546875" style="1" customWidth="1"/>
    <col min="47" max="47" width="8.42578125" style="1" customWidth="1"/>
    <col min="48" max="16384" width="11.42578125" style="1"/>
  </cols>
  <sheetData>
    <row r="1" spans="1:43" ht="60" customHeight="1" thickBot="1">
      <c r="A1" s="189" t="s">
        <v>47</v>
      </c>
      <c r="B1" s="190"/>
      <c r="C1" s="190"/>
      <c r="D1" s="187" t="s">
        <v>1</v>
      </c>
      <c r="E1" s="187"/>
      <c r="F1" s="187"/>
      <c r="G1" s="187"/>
      <c r="H1" s="187"/>
      <c r="I1" s="187"/>
      <c r="J1" s="187"/>
      <c r="K1" s="187"/>
      <c r="L1" s="187"/>
      <c r="M1" s="187"/>
      <c r="N1" s="188"/>
      <c r="O1" s="90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191"/>
      <c r="AN1" s="191"/>
      <c r="AO1" s="191"/>
    </row>
    <row r="2" spans="1:43" s="3" customFormat="1" ht="30" customHeight="1">
      <c r="A2" s="192" t="s">
        <v>2</v>
      </c>
      <c r="B2" s="193"/>
      <c r="C2" s="193"/>
      <c r="D2" s="196">
        <v>5</v>
      </c>
      <c r="E2" s="196"/>
      <c r="F2" s="197"/>
      <c r="G2" s="29" t="s">
        <v>3</v>
      </c>
      <c r="H2" s="29" t="s">
        <v>3</v>
      </c>
      <c r="I2" s="28" t="s">
        <v>3</v>
      </c>
      <c r="J2" s="28" t="s">
        <v>3</v>
      </c>
      <c r="K2" s="30" t="s">
        <v>3</v>
      </c>
      <c r="L2" s="28" t="s">
        <v>3</v>
      </c>
      <c r="M2" s="28" t="s">
        <v>3</v>
      </c>
      <c r="N2" s="38"/>
      <c r="O2" s="85"/>
      <c r="P2" s="89"/>
    </row>
    <row r="3" spans="1:43" s="3" customFormat="1" ht="75" customHeight="1">
      <c r="A3" s="194"/>
      <c r="B3" s="195"/>
      <c r="C3" s="195"/>
      <c r="D3" s="198"/>
      <c r="E3" s="198"/>
      <c r="F3" s="199"/>
      <c r="G3" s="27"/>
      <c r="H3" s="27"/>
      <c r="I3" s="26"/>
      <c r="J3" s="26"/>
      <c r="K3" s="31" t="s">
        <v>4</v>
      </c>
      <c r="L3" s="58"/>
      <c r="M3" s="58"/>
      <c r="N3" s="39"/>
      <c r="O3" s="85"/>
      <c r="P3" s="89"/>
    </row>
    <row r="4" spans="1:43" s="3" customFormat="1" ht="39.950000000000003" customHeight="1">
      <c r="A4" s="194"/>
      <c r="B4" s="195"/>
      <c r="C4" s="195"/>
      <c r="D4" s="198"/>
      <c r="E4" s="198"/>
      <c r="F4" s="199"/>
      <c r="G4" s="27" t="s">
        <v>5</v>
      </c>
      <c r="H4" s="27" t="s">
        <v>48</v>
      </c>
      <c r="I4" s="61" t="s">
        <v>6</v>
      </c>
      <c r="J4" s="61" t="s">
        <v>7</v>
      </c>
      <c r="K4" s="62" t="s">
        <v>49</v>
      </c>
      <c r="L4" s="108" t="s">
        <v>50</v>
      </c>
      <c r="M4" s="108" t="s">
        <v>51</v>
      </c>
      <c r="N4" s="39"/>
      <c r="O4" s="85"/>
      <c r="P4" s="89"/>
    </row>
    <row r="5" spans="1:43" s="3" customFormat="1" ht="90" customHeight="1">
      <c r="A5" s="194"/>
      <c r="B5" s="195"/>
      <c r="C5" s="195"/>
      <c r="D5" s="198"/>
      <c r="E5" s="198"/>
      <c r="F5" s="199"/>
      <c r="G5" s="60" t="s">
        <v>52</v>
      </c>
      <c r="H5" s="60" t="s">
        <v>53</v>
      </c>
      <c r="I5" s="61" t="s">
        <v>54</v>
      </c>
      <c r="J5" s="61" t="s">
        <v>55</v>
      </c>
      <c r="K5" s="62" t="s">
        <v>56</v>
      </c>
      <c r="L5" s="61" t="s">
        <v>57</v>
      </c>
      <c r="M5" s="61" t="s">
        <v>58</v>
      </c>
      <c r="N5" s="39"/>
      <c r="O5" s="186" t="s">
        <v>17</v>
      </c>
      <c r="P5" s="89"/>
    </row>
    <row r="6" spans="1:43" s="3" customFormat="1" ht="24.95" customHeight="1" thickBot="1">
      <c r="A6" s="176" t="s">
        <v>18</v>
      </c>
      <c r="B6" s="177"/>
      <c r="C6" s="177"/>
      <c r="D6" s="177"/>
      <c r="E6" s="177"/>
      <c r="F6" s="177"/>
      <c r="G6" s="47"/>
      <c r="H6" s="47"/>
      <c r="I6" s="48"/>
      <c r="J6" s="48"/>
      <c r="K6" s="49"/>
      <c r="L6" s="48"/>
      <c r="M6" s="48"/>
      <c r="N6" s="46"/>
      <c r="O6" s="186"/>
      <c r="P6" s="89"/>
    </row>
    <row r="7" spans="1:43" s="4" customFormat="1" ht="11.25" customHeight="1">
      <c r="A7" s="40" t="s">
        <v>19</v>
      </c>
      <c r="B7" s="41" t="s">
        <v>20</v>
      </c>
      <c r="C7" s="41" t="s">
        <v>21</v>
      </c>
      <c r="D7" s="41" t="s">
        <v>22</v>
      </c>
      <c r="E7" s="41" t="s">
        <v>23</v>
      </c>
      <c r="F7" s="41" t="s">
        <v>24</v>
      </c>
      <c r="G7" s="41" t="s">
        <v>25</v>
      </c>
      <c r="H7" s="42" t="s">
        <v>26</v>
      </c>
      <c r="I7" s="41" t="s">
        <v>27</v>
      </c>
      <c r="J7" s="41" t="s">
        <v>28</v>
      </c>
      <c r="K7" s="41" t="s">
        <v>29</v>
      </c>
      <c r="L7" s="41" t="s">
        <v>30</v>
      </c>
      <c r="M7" s="41" t="s">
        <v>31</v>
      </c>
      <c r="N7" s="43" t="s">
        <v>33</v>
      </c>
      <c r="O7" s="4" t="s">
        <v>34</v>
      </c>
      <c r="P7" s="17" t="s">
        <v>35</v>
      </c>
      <c r="Q7" s="17"/>
      <c r="R7" s="17"/>
    </row>
    <row r="8" spans="1:43" ht="11.25" customHeight="1">
      <c r="A8" s="32"/>
      <c r="B8" s="20">
        <f>IF(drk1mk[[#This Row],[Name]]="","",_xlfn.RANK.EQ(drk1mk[[#This Row],[Result]],_xlnm.Criteria,0))</f>
        <v>1</v>
      </c>
      <c r="C8" s="1" t="s">
        <v>59</v>
      </c>
      <c r="D8" s="1" t="s">
        <v>37</v>
      </c>
      <c r="E8" s="2" t="s">
        <v>38</v>
      </c>
      <c r="F8" s="20" t="s">
        <v>39</v>
      </c>
      <c r="G8" s="5">
        <v>0</v>
      </c>
      <c r="H8" s="5">
        <v>25</v>
      </c>
      <c r="I8" s="5">
        <v>0.02</v>
      </c>
      <c r="J8" s="5">
        <v>0.03</v>
      </c>
      <c r="K8" s="5">
        <v>25</v>
      </c>
      <c r="L8" s="5">
        <v>0.05</v>
      </c>
      <c r="M8" s="5">
        <v>0.06</v>
      </c>
      <c r="N8" s="33">
        <f>SUMPRODUCT(drk1mk[[#This Row],[1]:[7]]*(drk1mk[[#This Row],[1]:[7]]&gt;=drk1mk[[#This Row],[L]]))</f>
        <v>50.14</v>
      </c>
      <c r="O8" s="96">
        <f>IF(drk1mk[[#This Row],[Name]]="",0,LARGE(drk1mk[[#This Row],[1]:[7]],$D$2))</f>
        <v>0.03</v>
      </c>
      <c r="P8" s="91" t="str">
        <f>IF(OR((COUNTIFS(drk1mk[[#This Row],[1]:[7]],"="&amp;drk1mk[[#This Row],[L]])=6),(COUNTIFS(drk1mk[[#This Row],[1]:[7]],"="&amp;drk1mk[[#This Row],[L]])&lt;2)),"OK","Fehler (zu wenig Streicher) [Gleiche Werte jeweils um 0,1 erhöhen]")</f>
        <v>OK</v>
      </c>
      <c r="Q8" s="6"/>
      <c r="R8" s="2"/>
      <c r="S8" s="4"/>
      <c r="AP8" s="1"/>
      <c r="AQ8" s="1"/>
    </row>
    <row r="9" spans="1:43" ht="11.25" customHeight="1">
      <c r="A9" s="32"/>
      <c r="B9" s="20">
        <f>IF(drk1mk[[#This Row],[Name]]="","",_xlfn.RANK.EQ(drk1mk[[#This Row],[Result]],_xlnm.Criteria,0))</f>
        <v>2</v>
      </c>
      <c r="C9" s="1" t="s">
        <v>60</v>
      </c>
      <c r="D9" s="1" t="s">
        <v>61</v>
      </c>
      <c r="E9" s="2" t="s">
        <v>62</v>
      </c>
      <c r="F9" s="20" t="s">
        <v>39</v>
      </c>
      <c r="G9" s="5">
        <v>0</v>
      </c>
      <c r="H9" s="5">
        <v>0.01</v>
      </c>
      <c r="I9" s="5">
        <v>0.02</v>
      </c>
      <c r="J9" s="5">
        <v>0.03</v>
      </c>
      <c r="K9" s="5">
        <v>0.04</v>
      </c>
      <c r="L9" s="5">
        <v>25</v>
      </c>
      <c r="M9" s="5">
        <v>25</v>
      </c>
      <c r="N9" s="33">
        <f>SUMPRODUCT(drk1mk[[#This Row],[1]:[7]]*(drk1mk[[#This Row],[1]:[7]]&gt;=drk1mk[[#This Row],[L]]))</f>
        <v>50.09</v>
      </c>
      <c r="O9" s="97">
        <f>IF(drk1mk[[#This Row],[Name]]="",0,LARGE(drk1mk[[#This Row],[1]:[7]],$D$2))</f>
        <v>0.02</v>
      </c>
      <c r="P9" s="91" t="str">
        <f>IF(OR((COUNTIFS(drk1mk[[#This Row],[1]:[7]],"="&amp;drk1mk[[#This Row],[L]])=6),(COUNTIFS(drk1mk[[#This Row],[1]:[7]],"="&amp;drk1mk[[#This Row],[L]])&lt;2)),"OK","Fehler (zu wenig Streicher) [Gleiche Werte jeweils um 0,1 erhöhen]")</f>
        <v>OK</v>
      </c>
      <c r="R9" s="2"/>
      <c r="AP9" s="1"/>
      <c r="AQ9" s="1"/>
    </row>
    <row r="10" spans="1:43" ht="11.25" customHeight="1">
      <c r="A10" s="32"/>
      <c r="B10" s="20" t="str">
        <f>IF(drk1mk[[#This Row],[Name]]="","",_xlfn.RANK.EQ(drk1mk[[#This Row],[Result]],_xlnm.Criteria,0))</f>
        <v/>
      </c>
      <c r="E10" s="2"/>
      <c r="F10" s="20"/>
      <c r="G10" s="5">
        <v>0</v>
      </c>
      <c r="H10" s="5">
        <v>0.01</v>
      </c>
      <c r="I10" s="5">
        <v>0.02</v>
      </c>
      <c r="J10" s="5">
        <v>0.03</v>
      </c>
      <c r="K10" s="5">
        <v>0.04</v>
      </c>
      <c r="L10" s="5">
        <v>0.05</v>
      </c>
      <c r="M10" s="5">
        <v>0.05</v>
      </c>
      <c r="N10" s="33">
        <f>SUMPRODUCT(drk1mk[[#This Row],[1]:[7]]*(drk1mk[[#This Row],[1]:[7]]&gt;=drk1mk[[#This Row],[L]]))</f>
        <v>0.2</v>
      </c>
      <c r="O10" s="97">
        <f>IF(drk1mk[[#This Row],[Name]]="",0,LARGE(drk1mk[[#This Row],[1]:[7]],$D$2))</f>
        <v>0</v>
      </c>
      <c r="P10" s="91" t="str">
        <f>IF(OR((COUNTIFS(drk1mk[[#This Row],[1]:[7]],"="&amp;drk1mk[[#This Row],[L]])=6),(COUNTIFS(drk1mk[[#This Row],[1]:[7]],"="&amp;drk1mk[[#This Row],[L]])&lt;2)),"OK","Fehler (zu wenig Streicher) [Gleiche Werte jeweils um 0,1 erhöhen]")</f>
        <v>OK</v>
      </c>
      <c r="Q10" s="6"/>
      <c r="R10" s="2"/>
      <c r="AP10" s="1"/>
      <c r="AQ10" s="1"/>
    </row>
    <row r="11" spans="1:43" ht="11.25" customHeight="1">
      <c r="A11" s="32"/>
      <c r="B11" s="20" t="str">
        <f>IF(drk1mk[[#This Row],[Name]]="","",_xlfn.RANK.EQ(drk1mk[[#This Row],[Result]],_xlnm.Criteria,0))</f>
        <v/>
      </c>
      <c r="E11" s="2"/>
      <c r="F11" s="20"/>
      <c r="G11" s="5">
        <v>0</v>
      </c>
      <c r="H11" s="5">
        <v>0.01</v>
      </c>
      <c r="I11" s="5">
        <v>0.02</v>
      </c>
      <c r="J11" s="5">
        <v>0.03</v>
      </c>
      <c r="K11" s="5">
        <v>0.04</v>
      </c>
      <c r="L11" s="5">
        <v>0.05</v>
      </c>
      <c r="M11" s="5">
        <v>0.05</v>
      </c>
      <c r="N11" s="33">
        <f>SUMPRODUCT(drk1mk[[#This Row],[1]:[7]]*(drk1mk[[#This Row],[1]:[7]]&gt;=drk1mk[[#This Row],[L]]))</f>
        <v>0.2</v>
      </c>
      <c r="O11" s="97">
        <f>IF(drk1mk[[#This Row],[Name]]="",0,LARGE(drk1mk[[#This Row],[1]:[7]],$D$2))</f>
        <v>0</v>
      </c>
      <c r="P11" s="91" t="str">
        <f>IF(OR((COUNTIFS(drk1mk[[#This Row],[1]:[7]],"="&amp;drk1mk[[#This Row],[L]])=6),(COUNTIFS(drk1mk[[#This Row],[1]:[7]],"="&amp;drk1mk[[#This Row],[L]])&lt;2)),"OK","Fehler (zu wenig Streicher) [Gleiche Werte jeweils um 0,1 erhöhen]")</f>
        <v>OK</v>
      </c>
      <c r="R11" s="2"/>
      <c r="AP11" s="1"/>
      <c r="AQ11" s="1"/>
    </row>
    <row r="12" spans="1:43" ht="11.25" customHeight="1">
      <c r="A12" s="32"/>
      <c r="B12" s="20" t="str">
        <f>IF(drk1mk[[#This Row],[Name]]="","",_xlfn.RANK.EQ(drk1mk[[#This Row],[Result]],_xlnm.Criteria,0))</f>
        <v/>
      </c>
      <c r="E12" s="2"/>
      <c r="F12" s="20"/>
      <c r="G12" s="5">
        <v>0</v>
      </c>
      <c r="H12" s="5">
        <v>0.01</v>
      </c>
      <c r="I12" s="5">
        <v>0.02</v>
      </c>
      <c r="J12" s="5">
        <v>0.03</v>
      </c>
      <c r="K12" s="5">
        <v>0.04</v>
      </c>
      <c r="L12" s="5">
        <v>0.05</v>
      </c>
      <c r="M12" s="5">
        <v>0.05</v>
      </c>
      <c r="N12" s="33">
        <f>SUMPRODUCT(drk1mk[[#This Row],[1]:[7]]*(drk1mk[[#This Row],[1]:[7]]&gt;=drk1mk[[#This Row],[L]]))</f>
        <v>0.2</v>
      </c>
      <c r="O12" s="97">
        <f>IF(drk1mk[[#This Row],[Name]]="",0,LARGE(drk1mk[[#This Row],[1]:[7]],$D$2))</f>
        <v>0</v>
      </c>
      <c r="P12" s="91" t="str">
        <f>IF(OR((COUNTIFS(drk1mk[[#This Row],[1]:[7]],"="&amp;drk1mk[[#This Row],[L]])=6),(COUNTIFS(drk1mk[[#This Row],[1]:[7]],"="&amp;drk1mk[[#This Row],[L]])&lt;2)),"OK","Fehler (zu wenig Streicher) [Gleiche Werte jeweils um 0,1 erhöhen]")</f>
        <v>OK</v>
      </c>
      <c r="R12" s="18"/>
      <c r="AP12" s="1"/>
      <c r="AQ12" s="1"/>
    </row>
    <row r="13" spans="1:43" ht="11.25" customHeight="1">
      <c r="A13" s="32"/>
      <c r="B13" s="20" t="str">
        <f>IF(drk1mk[[#This Row],[Name]]="","",_xlfn.RANK.EQ(drk1mk[[#This Row],[Result]],_xlnm.Criteria,0))</f>
        <v/>
      </c>
      <c r="E13" s="2"/>
      <c r="F13" s="20"/>
      <c r="G13" s="5">
        <v>0</v>
      </c>
      <c r="H13" s="5">
        <v>0.01</v>
      </c>
      <c r="I13" s="5">
        <v>0.02</v>
      </c>
      <c r="J13" s="5">
        <v>0.03</v>
      </c>
      <c r="K13" s="5">
        <v>0.04</v>
      </c>
      <c r="L13" s="5">
        <v>0.05</v>
      </c>
      <c r="M13" s="5">
        <v>0.05</v>
      </c>
      <c r="N13" s="33">
        <f>SUMPRODUCT(drk1mk[[#This Row],[1]:[7]]*(drk1mk[[#This Row],[1]:[7]]&gt;=drk1mk[[#This Row],[L]]))</f>
        <v>0.2</v>
      </c>
      <c r="O13" s="97">
        <f>IF(drk1mk[[#This Row],[Name]]="",0,LARGE(drk1mk[[#This Row],[1]:[7]],$D$2))</f>
        <v>0</v>
      </c>
      <c r="P13" s="91" t="str">
        <f>IF(OR((COUNTIFS(drk1mk[[#This Row],[1]:[7]],"="&amp;drk1mk[[#This Row],[L]])=6),(COUNTIFS(drk1mk[[#This Row],[1]:[7]],"="&amp;drk1mk[[#This Row],[L]])&lt;2)),"OK","Fehler (zu wenig Streicher) [Gleiche Werte jeweils um 0,1 erhöhen]")</f>
        <v>OK</v>
      </c>
      <c r="R13" s="19"/>
      <c r="S13" s="4"/>
      <c r="AP13" s="1"/>
      <c r="AQ13" s="1"/>
    </row>
    <row r="14" spans="1:43" ht="11.25" customHeight="1">
      <c r="A14" s="32"/>
      <c r="B14" s="20" t="str">
        <f>IF(drk1mk[[#This Row],[Name]]="","",_xlfn.RANK.EQ(drk1mk[[#This Row],[Result]],_xlnm.Criteria,0))</f>
        <v/>
      </c>
      <c r="E14" s="2"/>
      <c r="F14" s="20"/>
      <c r="G14" s="5">
        <v>0</v>
      </c>
      <c r="H14" s="5">
        <v>0.01</v>
      </c>
      <c r="I14" s="5">
        <v>0.02</v>
      </c>
      <c r="J14" s="5">
        <v>0.03</v>
      </c>
      <c r="K14" s="5">
        <v>0.04</v>
      </c>
      <c r="L14" s="5">
        <v>0.05</v>
      </c>
      <c r="M14" s="5">
        <v>0.05</v>
      </c>
      <c r="N14" s="33">
        <f>SUMPRODUCT(drk1mk[[#This Row],[1]:[7]]*(drk1mk[[#This Row],[1]:[7]]&gt;=drk1mk[[#This Row],[L]]))</f>
        <v>0.2</v>
      </c>
      <c r="O14" s="97">
        <f>IF(drk1mk[[#This Row],[Name]]="",0,LARGE(drk1mk[[#This Row],[1]:[7]],$D$2))</f>
        <v>0</v>
      </c>
      <c r="P14" s="91" t="str">
        <f>IF(OR((COUNTIFS(drk1mk[[#This Row],[1]:[7]],"="&amp;drk1mk[[#This Row],[L]])=6),(COUNTIFS(drk1mk[[#This Row],[1]:[7]],"="&amp;drk1mk[[#This Row],[L]])&lt;2)),"OK","Fehler (zu wenig Streicher) [Gleiche Werte jeweils um 0,1 erhöhen]")</f>
        <v>OK</v>
      </c>
      <c r="AP14" s="1"/>
      <c r="AQ14" s="1"/>
    </row>
    <row r="15" spans="1:43" ht="11.25" customHeight="1">
      <c r="A15" s="32"/>
      <c r="B15" s="20" t="str">
        <f>IF(drk1mk[[#This Row],[Name]]="","",_xlfn.RANK.EQ(drk1mk[[#This Row],[Result]],_xlnm.Criteria,0))</f>
        <v/>
      </c>
      <c r="E15" s="2"/>
      <c r="F15" s="20"/>
      <c r="G15" s="5">
        <v>0</v>
      </c>
      <c r="H15" s="5">
        <v>0.01</v>
      </c>
      <c r="I15" s="5">
        <v>0.02</v>
      </c>
      <c r="J15" s="5">
        <v>0.03</v>
      </c>
      <c r="K15" s="5">
        <v>0.04</v>
      </c>
      <c r="L15" s="5">
        <v>0.05</v>
      </c>
      <c r="M15" s="5">
        <v>0.05</v>
      </c>
      <c r="N15" s="33">
        <f>SUMPRODUCT(drk1mk[[#This Row],[1]:[7]]*(drk1mk[[#This Row],[1]:[7]]&gt;=drk1mk[[#This Row],[L]]))</f>
        <v>0.2</v>
      </c>
      <c r="O15" s="97">
        <f>IF(drk1mk[[#This Row],[Name]]="",0,LARGE(drk1mk[[#This Row],[1]:[7]],$D$2))</f>
        <v>0</v>
      </c>
      <c r="P15" s="91" t="str">
        <f>IF(OR((COUNTIFS(drk1mk[[#This Row],[1]:[7]],"="&amp;drk1mk[[#This Row],[L]])=6),(COUNTIFS(drk1mk[[#This Row],[1]:[7]],"="&amp;drk1mk[[#This Row],[L]])&lt;2)),"OK","Fehler (zu wenig Streicher) [Gleiche Werte jeweils um 0,1 erhöhen]")</f>
        <v>OK</v>
      </c>
      <c r="AP15" s="1"/>
      <c r="AQ15" s="1"/>
    </row>
    <row r="16" spans="1:43" ht="11.25" customHeight="1">
      <c r="A16" s="32"/>
      <c r="B16" s="20" t="str">
        <f>IF(drk1mk[[#This Row],[Name]]="","",_xlfn.RANK.EQ(drk1mk[[#This Row],[Result]],_xlnm.Criteria,0))</f>
        <v/>
      </c>
      <c r="E16" s="2"/>
      <c r="F16" s="20"/>
      <c r="G16" s="5">
        <v>0</v>
      </c>
      <c r="H16" s="5">
        <v>0.01</v>
      </c>
      <c r="I16" s="5">
        <v>0.02</v>
      </c>
      <c r="J16" s="5">
        <v>0.03</v>
      </c>
      <c r="K16" s="5">
        <v>0.04</v>
      </c>
      <c r="L16" s="5">
        <v>0.05</v>
      </c>
      <c r="M16" s="5">
        <v>0.05</v>
      </c>
      <c r="N16" s="33">
        <f>SUMPRODUCT(drk1mk[[#This Row],[1]:[7]]*(drk1mk[[#This Row],[1]:[7]]&gt;=drk1mk[[#This Row],[L]]))</f>
        <v>0.2</v>
      </c>
      <c r="O16" s="97">
        <f>IF(drk1mk[[#This Row],[Name]]="",0,LARGE(drk1mk[[#This Row],[1]:[7]],$D$2))</f>
        <v>0</v>
      </c>
      <c r="P16" s="91" t="str">
        <f>IF(OR((COUNTIFS(drk1mk[[#This Row],[1]:[7]],"="&amp;drk1mk[[#This Row],[L]])=6),(COUNTIFS(drk1mk[[#This Row],[1]:[7]],"="&amp;drk1mk[[#This Row],[L]])&lt;2)),"OK","Fehler (zu wenig Streicher) [Gleiche Werte jeweils um 0,1 erhöhen]")</f>
        <v>OK</v>
      </c>
      <c r="AP16" s="1"/>
      <c r="AQ16" s="1"/>
    </row>
    <row r="17" spans="1:44" ht="11.25" customHeight="1">
      <c r="A17" s="32"/>
      <c r="B17" s="20" t="str">
        <f>IF(drk1mk[[#This Row],[Name]]="","",_xlfn.RANK.EQ(drk1mk[[#This Row],[Result]],_xlnm.Criteria,0))</f>
        <v/>
      </c>
      <c r="E17" s="2"/>
      <c r="F17" s="20"/>
      <c r="G17" s="5">
        <v>0</v>
      </c>
      <c r="H17" s="5">
        <v>0.01</v>
      </c>
      <c r="I17" s="5">
        <v>0.02</v>
      </c>
      <c r="J17" s="5">
        <v>0.03</v>
      </c>
      <c r="K17" s="5">
        <v>0.04</v>
      </c>
      <c r="L17" s="5">
        <v>0.05</v>
      </c>
      <c r="M17" s="5">
        <v>0.05</v>
      </c>
      <c r="N17" s="33">
        <f>SUMPRODUCT(drk1mk[[#This Row],[1]:[7]]*(drk1mk[[#This Row],[1]:[7]]&gt;=drk1mk[[#This Row],[L]]))</f>
        <v>0.2</v>
      </c>
      <c r="O17" s="97">
        <f>IF(drk1mk[[#This Row],[Name]]="",0,LARGE(drk1mk[[#This Row],[1]:[7]],$D$2))</f>
        <v>0</v>
      </c>
      <c r="P17" s="91" t="str">
        <f>IF(OR((COUNTIFS(drk1mk[[#This Row],[1]:[7]],"="&amp;drk1mk[[#This Row],[L]])=6),(COUNTIFS(drk1mk[[#This Row],[1]:[7]],"="&amp;drk1mk[[#This Row],[L]])&lt;2)),"OK","Fehler (zu wenig Streicher) [Gleiche Werte jeweils um 0,1 erhöhen]")</f>
        <v>OK</v>
      </c>
      <c r="AP17" s="1"/>
      <c r="AQ17" s="1"/>
    </row>
    <row r="18" spans="1:44" ht="11.25" customHeight="1">
      <c r="A18" s="32"/>
      <c r="B18" s="20" t="str">
        <f>IF(drk1mk[[#This Row],[Name]]="","",_xlfn.RANK.EQ(drk1mk[[#This Row],[Result]],_xlnm.Criteria,0))</f>
        <v/>
      </c>
      <c r="E18" s="2"/>
      <c r="F18" s="20"/>
      <c r="G18" s="5">
        <v>0</v>
      </c>
      <c r="H18" s="5">
        <v>0.01</v>
      </c>
      <c r="I18" s="5">
        <v>0.02</v>
      </c>
      <c r="J18" s="5">
        <v>0.03</v>
      </c>
      <c r="K18" s="5">
        <v>0.04</v>
      </c>
      <c r="L18" s="5">
        <v>0.05</v>
      </c>
      <c r="M18" s="5">
        <v>0.05</v>
      </c>
      <c r="N18" s="33">
        <f>SUMPRODUCT(drk1mk[[#This Row],[1]:[7]]*(drk1mk[[#This Row],[1]:[7]]&gt;=drk1mk[[#This Row],[L]]))</f>
        <v>0.2</v>
      </c>
      <c r="O18" s="97">
        <f>IF(drk1mk[[#This Row],[Name]]="",0,LARGE(drk1mk[[#This Row],[1]:[7]],$D$2))</f>
        <v>0</v>
      </c>
      <c r="P18" s="91" t="str">
        <f>IF(OR((COUNTIFS(drk1mk[[#This Row],[1]:[7]],"="&amp;drk1mk[[#This Row],[L]])=6),(COUNTIFS(drk1mk[[#This Row],[1]:[7]],"="&amp;drk1mk[[#This Row],[L]])&lt;2)),"OK","Fehler (zu wenig Streicher) [Gleiche Werte jeweils um 0,1 erhöhen]")</f>
        <v>OK</v>
      </c>
      <c r="AP18" s="1"/>
      <c r="AQ18" s="1"/>
    </row>
    <row r="19" spans="1:44" ht="11.25" customHeight="1" thickBot="1">
      <c r="A19" s="34"/>
      <c r="B19" s="35" t="str">
        <f>IF(drk1mk[[#This Row],[Name]]="","",_xlfn.RANK.EQ(drk1mk[[#This Row],[Result]],_xlnm.Criteria,0))</f>
        <v/>
      </c>
      <c r="C19" s="51"/>
      <c r="D19" s="51"/>
      <c r="E19" s="52"/>
      <c r="F19" s="35"/>
      <c r="G19" s="36">
        <v>0</v>
      </c>
      <c r="H19" s="36">
        <v>0.01</v>
      </c>
      <c r="I19" s="36">
        <v>0.02</v>
      </c>
      <c r="J19" s="36">
        <v>0.03</v>
      </c>
      <c r="K19" s="36">
        <v>0.04</v>
      </c>
      <c r="L19" s="36">
        <v>0.05</v>
      </c>
      <c r="M19" s="36">
        <v>0.05</v>
      </c>
      <c r="N19" s="37">
        <f>SUMPRODUCT(drk1mk[[#This Row],[1]:[7]]*(drk1mk[[#This Row],[1]:[7]]&gt;=drk1mk[[#This Row],[L]]))</f>
        <v>0.2</v>
      </c>
      <c r="O19" s="97">
        <f>IF(drk1mk[[#This Row],[Name]]="",0,LARGE(drk1mk[[#This Row],[1]:[7]],$D$2))</f>
        <v>0</v>
      </c>
      <c r="P19" s="91" t="str">
        <f>IF(OR((COUNTIFS(drk1mk[[#This Row],[1]:[7]],"="&amp;drk1mk[[#This Row],[L]])=6),(COUNTIFS(drk1mk[[#This Row],[1]:[7]],"="&amp;drk1mk[[#This Row],[L]])&lt;2)),"OK","Fehler (zu wenig Streicher) [Gleiche Werte jeweils um 0,1 erhöhen]")</f>
        <v>OK</v>
      </c>
      <c r="AP19" s="1"/>
      <c r="AQ19" s="1"/>
    </row>
    <row r="22" spans="1:44" ht="15" customHeight="1">
      <c r="O22" s="174" t="s">
        <v>17</v>
      </c>
      <c r="P22" s="17"/>
      <c r="AP22" s="1"/>
      <c r="AR22" s="4"/>
    </row>
    <row r="23" spans="1:44" ht="24.95" customHeight="1" thickBot="1">
      <c r="A23" s="176" t="s">
        <v>40</v>
      </c>
      <c r="B23" s="177"/>
      <c r="C23" s="177"/>
      <c r="D23" s="177"/>
      <c r="E23" s="177"/>
      <c r="F23" s="177"/>
      <c r="G23" s="47"/>
      <c r="H23" s="47"/>
      <c r="I23" s="48"/>
      <c r="J23" s="48"/>
      <c r="K23" s="49"/>
      <c r="L23" s="48"/>
      <c r="M23" s="48"/>
      <c r="N23" s="107"/>
      <c r="O23" s="174"/>
      <c r="P23" s="17"/>
      <c r="AP23" s="1"/>
      <c r="AR23" s="4"/>
    </row>
    <row r="24" spans="1:44">
      <c r="A24" s="83" t="s">
        <v>19</v>
      </c>
      <c r="B24" s="4" t="s">
        <v>20</v>
      </c>
      <c r="C24" s="4" t="s">
        <v>21</v>
      </c>
      <c r="D24" s="4" t="s">
        <v>22</v>
      </c>
      <c r="E24" s="4" t="s">
        <v>23</v>
      </c>
      <c r="F24" s="4" t="s">
        <v>24</v>
      </c>
      <c r="G24" s="4" t="s">
        <v>25</v>
      </c>
      <c r="H24" s="63" t="s">
        <v>26</v>
      </c>
      <c r="I24" s="4" t="s">
        <v>27</v>
      </c>
      <c r="J24" s="4" t="s">
        <v>28</v>
      </c>
      <c r="K24" s="4" t="s">
        <v>29</v>
      </c>
      <c r="L24" s="4" t="s">
        <v>30</v>
      </c>
      <c r="M24" s="4" t="s">
        <v>31</v>
      </c>
      <c r="N24" s="148" t="s">
        <v>33</v>
      </c>
      <c r="O24" s="83" t="s">
        <v>34</v>
      </c>
      <c r="P24" s="17" t="s">
        <v>35</v>
      </c>
      <c r="AP24" s="1"/>
      <c r="AR24" s="4"/>
    </row>
    <row r="25" spans="1:44">
      <c r="A25" s="32"/>
      <c r="B25" s="20">
        <f>IF(drk1wk[[#This Row],[Name]]="","",_xlfn.RANK.EQ(drk1wk[[#This Row],[Result]],drk1wk[Result],0))</f>
        <v>1</v>
      </c>
      <c r="C25" s="1" t="s">
        <v>44</v>
      </c>
      <c r="D25" s="1" t="s">
        <v>45</v>
      </c>
      <c r="E25" s="2" t="s">
        <v>62</v>
      </c>
      <c r="F25" s="20" t="s">
        <v>39</v>
      </c>
      <c r="G25" s="5">
        <v>0</v>
      </c>
      <c r="H25" s="5">
        <v>25</v>
      </c>
      <c r="I25" s="5">
        <v>0.02</v>
      </c>
      <c r="J25" s="5">
        <v>0.03</v>
      </c>
      <c r="K25" s="5">
        <v>25</v>
      </c>
      <c r="L25" s="5">
        <v>25</v>
      </c>
      <c r="M25" s="5">
        <v>20</v>
      </c>
      <c r="N25" s="33" cm="1">
        <f t="array" ref="N25">SUMPRODUCT(drk1wk[[#This Row],[1]:[7]]*(drk1wk[[#This Row],[1]:[7]]&gt;=drk1wk[[#This Row],[L]]))</f>
        <v>95.03</v>
      </c>
      <c r="O25" s="96">
        <f>IF(drk1wk[[#This Row],[Name]]="",0,LARGE(drk1wk[[#This Row],[1]:[7]],$D$2))</f>
        <v>0.03</v>
      </c>
      <c r="P25" s="91" t="str">
        <f>IF(OR((COUNTIFS(drk1wk[[#This Row],[1]:[6]],"="&amp;drk1wk[[#This Row],[L]])=6),(COUNTIFS(drk1wk[[#This Row],[1]:[6]],"="&amp;drk1wk[[#This Row],[L]])&lt;2)),"OK","Fehler (zu wenig Streicher) [Gleiche Werte jeweils um 0,1 erhöhen]")</f>
        <v>OK</v>
      </c>
      <c r="R25" s="1" t="s">
        <v>63</v>
      </c>
      <c r="S25" s="173"/>
      <c r="T25" s="173"/>
      <c r="U25" s="173"/>
      <c r="AP25" s="1"/>
      <c r="AR25" s="4"/>
    </row>
    <row r="26" spans="1:44">
      <c r="A26" s="32"/>
      <c r="B26" s="20">
        <f>IF(drk1wk[[#This Row],[Name]]="","",_xlfn.RANK.EQ(drk1wk[[#This Row],[Result]],drk1wk[Result],0))</f>
        <v>2</v>
      </c>
      <c r="C26" s="1" t="s">
        <v>41</v>
      </c>
      <c r="D26" s="1" t="s">
        <v>42</v>
      </c>
      <c r="E26" s="2" t="s">
        <v>62</v>
      </c>
      <c r="F26" s="20" t="s">
        <v>39</v>
      </c>
      <c r="G26" s="5">
        <v>0</v>
      </c>
      <c r="H26" s="5">
        <v>20</v>
      </c>
      <c r="I26" s="5">
        <v>0.02</v>
      </c>
      <c r="J26" s="5">
        <v>0.03</v>
      </c>
      <c r="K26" s="5">
        <v>15</v>
      </c>
      <c r="L26" s="5">
        <v>15</v>
      </c>
      <c r="M26" s="5">
        <v>25</v>
      </c>
      <c r="N26" s="33" cm="1">
        <f t="array" ref="N26">SUMPRODUCT(drk1wk[[#This Row],[1]:[7]]*(drk1wk[[#This Row],[1]:[7]]&gt;=drk1wk[[#This Row],[L]]))</f>
        <v>75.03</v>
      </c>
      <c r="O26" s="172">
        <f>IF(drk1wk[[#This Row],[Name]]="",0,LARGE(drk1wk[[#This Row],[1]:[7]],$D$2))</f>
        <v>0.03</v>
      </c>
      <c r="P26" s="92" t="str">
        <f>IF(OR((COUNTIFS(drk1wk[[#This Row],[1]:[6]],"="&amp;drk1wk[[#This Row],[L]])=6),(COUNTIFS(drk1wk[[#This Row],[1]:[6]],"="&amp;drk1wk[[#This Row],[L]])&lt;2)),"OK","Fehler (zu wenig Streicher) [Gleiche Werte jeweils um 0,1 erhöhen]")</f>
        <v>OK</v>
      </c>
      <c r="S26" s="173"/>
      <c r="T26" s="173"/>
      <c r="U26" s="173"/>
      <c r="AP26" s="1"/>
      <c r="AR26" s="4"/>
    </row>
    <row r="27" spans="1:44">
      <c r="A27" s="32"/>
      <c r="B27" s="20">
        <f>IF(drk1wk[[#This Row],[Name]]="","",_xlfn.RANK.EQ(drk1wk[[#This Row],[Result]],drk1wk[Result],0))</f>
        <v>3</v>
      </c>
      <c r="C27" s="1" t="s">
        <v>46</v>
      </c>
      <c r="D27" s="1" t="s">
        <v>45</v>
      </c>
      <c r="E27" s="2" t="s">
        <v>62</v>
      </c>
      <c r="F27" s="20" t="s">
        <v>39</v>
      </c>
      <c r="G27" s="5">
        <v>0</v>
      </c>
      <c r="H27" s="5">
        <v>15</v>
      </c>
      <c r="I27" s="5">
        <v>0.02</v>
      </c>
      <c r="J27" s="5">
        <v>0.03</v>
      </c>
      <c r="K27" s="5">
        <v>20</v>
      </c>
      <c r="L27" s="5">
        <v>20</v>
      </c>
      <c r="M27" s="5">
        <v>15</v>
      </c>
      <c r="N27" s="33" cm="1">
        <f t="array" ref="N27">SUMPRODUCT(drk1wk[[#This Row],[1]:[7]]*(drk1wk[[#This Row],[1]:[7]]&gt;=drk1wk[[#This Row],[L]]))</f>
        <v>70.03</v>
      </c>
      <c r="O27" s="172">
        <f>IF(drk1wk[[#This Row],[Name]]="",0,LARGE(drk1wk[[#This Row],[1]:[7]],$D$2))</f>
        <v>0.03</v>
      </c>
      <c r="P27" s="92" t="str">
        <f>IF(OR((COUNTIFS(drk1wk[[#This Row],[1]:[6]],"="&amp;drk1wk[[#This Row],[L]])=6),(COUNTIFS(drk1wk[[#This Row],[1]:[6]],"="&amp;drk1wk[[#This Row],[L]])&lt;2)),"OK","Fehler (zu wenig Streicher) [Gleiche Werte jeweils um 0,1 erhöhen]")</f>
        <v>OK</v>
      </c>
      <c r="S27" s="173"/>
      <c r="T27" s="173"/>
      <c r="U27" s="173"/>
      <c r="AP27" s="1"/>
      <c r="AR27" s="4"/>
    </row>
    <row r="28" spans="1:44">
      <c r="A28" s="32"/>
      <c r="B28" s="20" t="str">
        <f>IF(drk1wk[[#This Row],[Name]]="","",_xlfn.RANK.EQ(drk1wk[[#This Row],[Result]],drk1wk[Result],0))</f>
        <v/>
      </c>
      <c r="E28" s="2"/>
      <c r="F28" s="20"/>
      <c r="G28" s="5">
        <v>0</v>
      </c>
      <c r="H28" s="5">
        <v>0.01</v>
      </c>
      <c r="I28" s="5">
        <v>0.02</v>
      </c>
      <c r="J28" s="5">
        <v>0.03</v>
      </c>
      <c r="K28" s="5">
        <v>0.04</v>
      </c>
      <c r="L28" s="5">
        <v>0.05</v>
      </c>
      <c r="M28" s="5">
        <v>0.05</v>
      </c>
      <c r="N28" s="33" cm="1">
        <f t="array" ref="N28">SUMPRODUCT(drk1wk[[#This Row],[1]:[7]]*(drk1wk[[#This Row],[1]:[7]]&gt;=drk1wk[[#This Row],[L]]))</f>
        <v>0.2</v>
      </c>
      <c r="O28" s="172">
        <f>IF(drk1wk[[#This Row],[Name]]="",0,LARGE(drk1wk[[#This Row],[1]:[7]],$D$2))</f>
        <v>0</v>
      </c>
      <c r="P28" s="92" t="str">
        <f>IF(OR((COUNTIFS(drk1wk[[#This Row],[1]:[6]],"="&amp;drk1wk[[#This Row],[L]])=6),(COUNTIFS(drk1wk[[#This Row],[1]:[6]],"="&amp;drk1wk[[#This Row],[L]])&lt;2)),"OK","Fehler (zu wenig Streicher) [Gleiche Werte jeweils um 0,1 erhöhen]")</f>
        <v>OK</v>
      </c>
      <c r="AP28" s="1"/>
      <c r="AR28" s="4"/>
    </row>
    <row r="29" spans="1:44">
      <c r="A29" s="32"/>
      <c r="B29" s="20" t="str">
        <f>IF(drk1wk[[#This Row],[Name]]="","",_xlfn.RANK.EQ(drk1wk[[#This Row],[Result]],drk1wk[Result],0))</f>
        <v/>
      </c>
      <c r="E29" s="2"/>
      <c r="F29" s="20"/>
      <c r="G29" s="5">
        <v>0</v>
      </c>
      <c r="H29" s="5">
        <v>0.01</v>
      </c>
      <c r="I29" s="5">
        <v>0.02</v>
      </c>
      <c r="J29" s="5">
        <v>0.03</v>
      </c>
      <c r="K29" s="5">
        <v>0.04</v>
      </c>
      <c r="L29" s="5">
        <v>0.05</v>
      </c>
      <c r="M29" s="5">
        <v>0.05</v>
      </c>
      <c r="N29" s="33" cm="1">
        <f t="array" ref="N29">SUMPRODUCT(drk1wk[[#This Row],[1]:[7]]*(drk1wk[[#This Row],[1]:[7]]&gt;=drk1wk[[#This Row],[L]]))</f>
        <v>0.2</v>
      </c>
      <c r="O29" s="172">
        <f>IF(drk1wk[[#This Row],[Name]]="",0,LARGE(drk1wk[[#This Row],[1]:[7]],$D$2))</f>
        <v>0</v>
      </c>
      <c r="P29" s="92" t="str">
        <f>IF(OR((COUNTIFS(drk1wk[[#This Row],[1]:[6]],"="&amp;drk1wk[[#This Row],[L]])=6),(COUNTIFS(drk1wk[[#This Row],[1]:[6]],"="&amp;drk1wk[[#This Row],[L]])&lt;2)),"OK","Fehler (zu wenig Streicher) [Gleiche Werte jeweils um 0,1 erhöhen]")</f>
        <v>OK</v>
      </c>
      <c r="AP29" s="1"/>
      <c r="AR29" s="4"/>
    </row>
    <row r="30" spans="1:44">
      <c r="A30" s="32"/>
      <c r="B30" s="20" t="str">
        <f>IF(drk1wk[[#This Row],[Name]]="","",_xlfn.RANK.EQ(drk1wk[[#This Row],[Result]],drk1wk[Result],0))</f>
        <v/>
      </c>
      <c r="E30" s="2"/>
      <c r="F30" s="20"/>
      <c r="G30" s="5">
        <v>0</v>
      </c>
      <c r="H30" s="5">
        <v>0.01</v>
      </c>
      <c r="I30" s="5">
        <v>0.02</v>
      </c>
      <c r="J30" s="5">
        <v>0.03</v>
      </c>
      <c r="K30" s="5">
        <v>0.04</v>
      </c>
      <c r="L30" s="5">
        <v>0.05</v>
      </c>
      <c r="M30" s="5">
        <v>0.05</v>
      </c>
      <c r="N30" s="33" cm="1">
        <f t="array" ref="N30">SUMPRODUCT(drk1wk[[#This Row],[1]:[7]]*(drk1wk[[#This Row],[1]:[7]]&gt;=drk1wk[[#This Row],[L]]))</f>
        <v>0.2</v>
      </c>
      <c r="O30" s="172">
        <f>IF(drk1wk[[#This Row],[Name]]="",0,LARGE(drk1wk[[#This Row],[1]:[7]],$D$2))</f>
        <v>0</v>
      </c>
      <c r="P30" s="92" t="str">
        <f>IF(OR((COUNTIFS(drk1wk[[#This Row],[1]:[6]],"="&amp;drk1wk[[#This Row],[L]])=6),(COUNTIFS(drk1wk[[#This Row],[1]:[6]],"="&amp;drk1wk[[#This Row],[L]])&lt;2)),"OK","Fehler (zu wenig Streicher) [Gleiche Werte jeweils um 0,1 erhöhen]")</f>
        <v>OK</v>
      </c>
      <c r="AP30" s="1"/>
      <c r="AR30" s="4"/>
    </row>
    <row r="31" spans="1:44">
      <c r="A31" s="32"/>
      <c r="B31" s="20" t="str">
        <f>IF(drk1wk[[#This Row],[Name]]="","",_xlfn.RANK.EQ(drk1wk[[#This Row],[Result]],drk1wk[Result],0))</f>
        <v/>
      </c>
      <c r="E31" s="2"/>
      <c r="F31" s="20"/>
      <c r="G31" s="5">
        <v>0</v>
      </c>
      <c r="H31" s="5">
        <v>0.01</v>
      </c>
      <c r="I31" s="5">
        <v>0.02</v>
      </c>
      <c r="J31" s="5">
        <v>0.03</v>
      </c>
      <c r="K31" s="5">
        <v>0.04</v>
      </c>
      <c r="L31" s="5">
        <v>0.05</v>
      </c>
      <c r="M31" s="5">
        <v>0.05</v>
      </c>
      <c r="N31" s="33" cm="1">
        <f t="array" ref="N31">SUMPRODUCT(drk1wk[[#This Row],[1]:[7]]*(drk1wk[[#This Row],[1]:[7]]&gt;=drk1wk[[#This Row],[L]]))</f>
        <v>0.2</v>
      </c>
      <c r="O31" s="172">
        <f>IF(drk1wk[[#This Row],[Name]]="",0,LARGE(drk1wk[[#This Row],[1]:[7]],$D$2))</f>
        <v>0</v>
      </c>
      <c r="P31" s="92" t="str">
        <f>IF(OR((COUNTIFS(drk1wk[[#This Row],[1]:[6]],"="&amp;drk1wk[[#This Row],[L]])=6),(COUNTIFS(drk1wk[[#This Row],[1]:[6]],"="&amp;drk1wk[[#This Row],[L]])&lt;2)),"OK","Fehler (zu wenig Streicher) [Gleiche Werte jeweils um 0,1 erhöhen]")</f>
        <v>OK</v>
      </c>
      <c r="AP31" s="1"/>
      <c r="AR31" s="4"/>
    </row>
    <row r="32" spans="1:44">
      <c r="A32" s="32"/>
      <c r="B32" s="20" t="str">
        <f>IF(drk1wk[[#This Row],[Name]]="","",_xlfn.RANK.EQ(drk1wk[[#This Row],[Result]],drk1wk[Result],0))</f>
        <v/>
      </c>
      <c r="E32" s="2"/>
      <c r="F32" s="20"/>
      <c r="G32" s="5">
        <v>0</v>
      </c>
      <c r="H32" s="5">
        <v>0.01</v>
      </c>
      <c r="I32" s="5">
        <v>0.02</v>
      </c>
      <c r="J32" s="5">
        <v>0.03</v>
      </c>
      <c r="K32" s="5">
        <v>0.04</v>
      </c>
      <c r="L32" s="5">
        <v>0.05</v>
      </c>
      <c r="M32" s="5">
        <v>0.05</v>
      </c>
      <c r="N32" s="33" cm="1">
        <f t="array" ref="N32">SUMPRODUCT(drk1wk[[#This Row],[1]:[7]]*(drk1wk[[#This Row],[1]:[7]]&gt;=drk1wk[[#This Row],[L]]))</f>
        <v>0.2</v>
      </c>
      <c r="O32" s="172">
        <f>IF(drk1wk[[#This Row],[Name]]="",0,LARGE(drk1wk[[#This Row],[1]:[7]],$D$2))</f>
        <v>0</v>
      </c>
      <c r="P32" s="92" t="str">
        <f>IF(OR((COUNTIFS(drk1wk[[#This Row],[1]:[6]],"="&amp;drk1wk[[#This Row],[L]])=6),(COUNTIFS(drk1wk[[#This Row],[1]:[6]],"="&amp;drk1wk[[#This Row],[L]])&lt;2)),"OK","Fehler (zu wenig Streicher) [Gleiche Werte jeweils um 0,1 erhöhen]")</f>
        <v>OK</v>
      </c>
      <c r="AP32" s="1"/>
      <c r="AR32" s="4"/>
    </row>
    <row r="33" spans="1:44">
      <c r="A33" s="32"/>
      <c r="B33" s="20" t="str">
        <f>IF(drk1wk[[#This Row],[Name]]="","",_xlfn.RANK.EQ(drk1wk[[#This Row],[Result]],drk1wk[Result],0))</f>
        <v/>
      </c>
      <c r="E33" s="2"/>
      <c r="F33" s="20"/>
      <c r="G33" s="5">
        <v>0</v>
      </c>
      <c r="H33" s="5">
        <v>0.01</v>
      </c>
      <c r="I33" s="5">
        <v>0.02</v>
      </c>
      <c r="J33" s="5">
        <v>0.03</v>
      </c>
      <c r="K33" s="5">
        <v>0.04</v>
      </c>
      <c r="L33" s="5">
        <v>0.05</v>
      </c>
      <c r="M33" s="5">
        <v>0.05</v>
      </c>
      <c r="N33" s="33" cm="1">
        <f t="array" ref="N33">SUMPRODUCT(drk1wk[[#This Row],[1]:[7]]*(drk1wk[[#This Row],[1]:[7]]&gt;=drk1wk[[#This Row],[L]]))</f>
        <v>0.2</v>
      </c>
      <c r="O33" s="96">
        <f>IF(drk1wk[[#This Row],[Name]]="",0,LARGE(drk1wk[[#This Row],[1]:[7]],$D$2))</f>
        <v>0</v>
      </c>
      <c r="P33" s="91" t="str">
        <f>IF(OR((COUNTIFS(drk1wk[[#This Row],[1]:[6]],"="&amp;drk1wk[[#This Row],[L]])=6),(COUNTIFS(drk1wk[[#This Row],[1]:[6]],"="&amp;drk1wk[[#This Row],[L]])&lt;2)),"OK","Fehler (zu wenig Streicher) [Gleiche Werte jeweils um 0,1 erhöhen]")</f>
        <v>OK</v>
      </c>
      <c r="AP33" s="1"/>
      <c r="AR33" s="4"/>
    </row>
    <row r="34" spans="1:44">
      <c r="A34" s="32"/>
      <c r="B34" s="20" t="str">
        <f>IF(drk1wk[[#This Row],[Name]]="","",_xlfn.RANK.EQ(drk1wk[[#This Row],[Result]],drk1wk[Result],0))</f>
        <v/>
      </c>
      <c r="E34" s="2"/>
      <c r="F34" s="20"/>
      <c r="G34" s="5">
        <v>0</v>
      </c>
      <c r="H34" s="5">
        <v>0.01</v>
      </c>
      <c r="I34" s="5">
        <v>0.02</v>
      </c>
      <c r="J34" s="5">
        <v>0.03</v>
      </c>
      <c r="K34" s="5">
        <v>0.04</v>
      </c>
      <c r="L34" s="5">
        <v>0.05</v>
      </c>
      <c r="M34" s="5">
        <v>0.05</v>
      </c>
      <c r="N34" s="33" cm="1">
        <f t="array" ref="N34">SUMPRODUCT(drk1wk[[#This Row],[1]:[7]]*(drk1wk[[#This Row],[1]:[7]]&gt;=drk1wk[[#This Row],[L]]))</f>
        <v>0.2</v>
      </c>
      <c r="O34" s="96">
        <f>IF(drk1wk[[#This Row],[Name]]="",0,LARGE(drk1wk[[#This Row],[1]:[7]],$D$2))</f>
        <v>0</v>
      </c>
      <c r="P34" s="91" t="str">
        <f>IF(OR((COUNTIFS(drk1wk[[#This Row],[1]:[6]],"="&amp;drk1wk[[#This Row],[L]])=6),(COUNTIFS(drk1wk[[#This Row],[1]:[6]],"="&amp;drk1wk[[#This Row],[L]])&lt;2)),"OK","Fehler (zu wenig Streicher) [Gleiche Werte jeweils um 0,1 erhöhen]")</f>
        <v>OK</v>
      </c>
      <c r="AP34" s="1"/>
      <c r="AR34" s="4"/>
    </row>
  </sheetData>
  <mergeCells count="9">
    <mergeCell ref="O22:O23"/>
    <mergeCell ref="A23:F23"/>
    <mergeCell ref="A1:C1"/>
    <mergeCell ref="D1:N1"/>
    <mergeCell ref="AM1:AO1"/>
    <mergeCell ref="A2:C5"/>
    <mergeCell ref="D2:F5"/>
    <mergeCell ref="O5:O6"/>
    <mergeCell ref="A6:F6"/>
  </mergeCells>
  <conditionalFormatting sqref="G8:O19 G25:O34">
    <cfRule type="expression" dxfId="372" priority="2">
      <formula>G8&lt;1</formula>
    </cfRule>
  </conditionalFormatting>
  <conditionalFormatting sqref="G25:M34">
    <cfRule type="expression" dxfId="371" priority="3">
      <formula>G25&lt;$O25</formula>
    </cfRule>
  </conditionalFormatting>
  <conditionalFormatting sqref="G8:M19">
    <cfRule type="expression" dxfId="370" priority="4">
      <formula>G8&lt;$O8</formula>
    </cfRule>
  </conditionalFormatting>
  <conditionalFormatting sqref="G8:N19 G25:N34">
    <cfRule type="expression" dxfId="369" priority="5">
      <formula>G8&gt;=$O8</formula>
    </cfRule>
  </conditionalFormatting>
  <conditionalFormatting sqref="G28:M34">
    <cfRule type="expression" dxfId="368" priority="1">
      <formula>G28&lt;$O28</formula>
    </cfRule>
  </conditionalFormatting>
  <pageMargins left="0.70866141732283472" right="0.70866141732283472" top="0.78740157480314965" bottom="0.78740157480314965" header="0.31496062992125984" footer="0.31496062992125984"/>
  <pageSetup paperSize="9" scale="68" fitToHeight="3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E4756-0FC6-4AC7-BE97-B4E553AC8E9E}">
  <sheetPr codeName="Tabelle3"/>
  <dimension ref="A1:AJ35"/>
  <sheetViews>
    <sheetView zoomScaleNormal="100" workbookViewId="0">
      <selection activeCell="X28" sqref="X28"/>
    </sheetView>
  </sheetViews>
  <sheetFormatPr defaultColWidth="11.42578125" defaultRowHeight="11.25"/>
  <cols>
    <col min="1" max="2" width="5.7109375" style="2" customWidth="1"/>
    <col min="3" max="4" width="15.7109375" style="1" customWidth="1"/>
    <col min="5" max="5" width="15.7109375" style="20" customWidth="1"/>
    <col min="6" max="6" width="4.7109375" style="2" customWidth="1"/>
    <col min="7" max="9" width="3.85546875" style="2" customWidth="1"/>
    <col min="10" max="14" width="3.85546875" style="1" customWidth="1"/>
    <col min="15" max="15" width="6.42578125" style="1" customWidth="1"/>
    <col min="16" max="16" width="3.85546875" style="1" customWidth="1"/>
    <col min="17" max="17" width="9.140625" style="1" customWidth="1"/>
    <col min="18" max="18" width="3.85546875" style="1" customWidth="1"/>
    <col min="19" max="19" width="7.7109375" style="1" customWidth="1"/>
    <col min="20" max="20" width="3.85546875" style="1" customWidth="1"/>
    <col min="21" max="21" width="5.7109375" style="17" customWidth="1"/>
    <col min="22" max="34" width="3.28515625" style="1" customWidth="1"/>
    <col min="35" max="35" width="6.42578125" style="4" customWidth="1"/>
    <col min="36" max="36" width="3.28515625" style="4" customWidth="1"/>
    <col min="37" max="37" width="11.42578125" style="1"/>
    <col min="38" max="38" width="8.7109375" style="1" customWidth="1"/>
    <col min="39" max="39" width="6.85546875" style="1" customWidth="1"/>
    <col min="40" max="40" width="8.42578125" style="1" customWidth="1"/>
    <col min="41" max="16384" width="11.42578125" style="1"/>
  </cols>
  <sheetData>
    <row r="1" spans="1:36" ht="60" customHeight="1" thickBot="1">
      <c r="A1" s="189" t="s">
        <v>64</v>
      </c>
      <c r="B1" s="190"/>
      <c r="C1" s="190"/>
      <c r="D1" s="187" t="s">
        <v>1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8"/>
      <c r="P1" s="109"/>
      <c r="Q1" s="110"/>
      <c r="R1" s="110"/>
      <c r="S1" s="110"/>
      <c r="T1" s="22"/>
      <c r="U1" s="90"/>
      <c r="V1" s="22"/>
      <c r="W1" s="22"/>
      <c r="X1" s="22"/>
      <c r="Y1" s="22"/>
      <c r="Z1" s="22"/>
      <c r="AA1" s="22"/>
      <c r="AB1" s="22"/>
      <c r="AC1" s="22"/>
      <c r="AD1" s="22"/>
      <c r="AE1" s="22"/>
      <c r="AF1" s="191"/>
      <c r="AG1" s="191"/>
      <c r="AH1" s="191"/>
    </row>
    <row r="2" spans="1:36" s="3" customFormat="1" ht="30" customHeight="1">
      <c r="A2" s="219" t="s">
        <v>2</v>
      </c>
      <c r="B2" s="220"/>
      <c r="C2" s="220"/>
      <c r="D2" s="196">
        <v>6</v>
      </c>
      <c r="E2" s="196"/>
      <c r="F2" s="197"/>
      <c r="G2" s="130" t="s">
        <v>3</v>
      </c>
      <c r="H2" s="119"/>
      <c r="I2" s="225" t="s">
        <v>3</v>
      </c>
      <c r="J2" s="226"/>
      <c r="K2" s="130" t="s">
        <v>3</v>
      </c>
      <c r="L2" s="119"/>
      <c r="M2" s="223" t="s">
        <v>3</v>
      </c>
      <c r="N2" s="203"/>
      <c r="O2" s="38"/>
      <c r="P2" s="85"/>
      <c r="Q2" s="89"/>
    </row>
    <row r="3" spans="1:36" s="3" customFormat="1" ht="75" customHeight="1">
      <c r="A3" s="221"/>
      <c r="B3" s="222"/>
      <c r="C3" s="222"/>
      <c r="D3" s="198"/>
      <c r="E3" s="198"/>
      <c r="F3" s="199"/>
      <c r="G3" s="56"/>
      <c r="H3" s="55"/>
      <c r="I3" s="123" t="s">
        <v>65</v>
      </c>
      <c r="J3" s="124"/>
      <c r="K3" s="57"/>
      <c r="L3" s="55"/>
      <c r="M3" s="25"/>
      <c r="N3" s="112"/>
      <c r="O3" s="39"/>
      <c r="P3" s="85"/>
      <c r="Q3" s="89"/>
    </row>
    <row r="4" spans="1:36" s="3" customFormat="1" ht="39.950000000000003" customHeight="1">
      <c r="A4" s="221"/>
      <c r="B4" s="222"/>
      <c r="C4" s="222"/>
      <c r="D4" s="198"/>
      <c r="E4" s="198"/>
      <c r="F4" s="199"/>
      <c r="G4" s="231" t="s">
        <v>48</v>
      </c>
      <c r="H4" s="232"/>
      <c r="I4" s="229" t="s">
        <v>8</v>
      </c>
      <c r="J4" s="230"/>
      <c r="K4" s="227" t="s">
        <v>50</v>
      </c>
      <c r="L4" s="228"/>
      <c r="M4" s="224" t="s">
        <v>51</v>
      </c>
      <c r="N4" s="213"/>
      <c r="O4" s="39"/>
      <c r="P4" s="85"/>
      <c r="Q4" s="89"/>
    </row>
    <row r="5" spans="1:36" s="3" customFormat="1" ht="90" customHeight="1">
      <c r="A5" s="221"/>
      <c r="B5" s="222"/>
      <c r="C5" s="222"/>
      <c r="D5" s="198"/>
      <c r="E5" s="198"/>
      <c r="F5" s="199"/>
      <c r="G5" s="64" t="s">
        <v>66</v>
      </c>
      <c r="H5" s="114" t="s">
        <v>67</v>
      </c>
      <c r="I5" s="128" t="s">
        <v>15</v>
      </c>
      <c r="J5" s="129" t="s">
        <v>16</v>
      </c>
      <c r="K5" s="64" t="s">
        <v>68</v>
      </c>
      <c r="L5" s="114" t="s">
        <v>69</v>
      </c>
      <c r="M5" s="121" t="s">
        <v>70</v>
      </c>
      <c r="N5" s="122" t="s">
        <v>71</v>
      </c>
      <c r="O5" s="39"/>
      <c r="P5" s="186" t="s">
        <v>17</v>
      </c>
      <c r="Q5" s="89"/>
    </row>
    <row r="6" spans="1:36" s="3" customFormat="1" ht="24.95" customHeight="1" thickBot="1">
      <c r="A6" s="176" t="s">
        <v>18</v>
      </c>
      <c r="B6" s="177"/>
      <c r="C6" s="177"/>
      <c r="D6" s="177"/>
      <c r="E6" s="177"/>
      <c r="F6" s="214"/>
      <c r="G6" s="126"/>
      <c r="H6" s="126"/>
      <c r="I6" s="125"/>
      <c r="J6" s="127"/>
      <c r="K6" s="120"/>
      <c r="L6" s="126"/>
      <c r="M6" s="217"/>
      <c r="N6" s="218"/>
      <c r="O6" s="46"/>
      <c r="P6" s="186"/>
      <c r="Q6" s="89"/>
    </row>
    <row r="7" spans="1:36" s="4" customFormat="1" ht="11.25" customHeight="1">
      <c r="A7" s="83" t="s">
        <v>19</v>
      </c>
      <c r="B7" s="4" t="s">
        <v>20</v>
      </c>
      <c r="C7" s="4" t="s">
        <v>21</v>
      </c>
      <c r="D7" s="4" t="s">
        <v>22</v>
      </c>
      <c r="E7" s="4" t="s">
        <v>23</v>
      </c>
      <c r="F7" s="4" t="s">
        <v>24</v>
      </c>
      <c r="G7" s="4" t="s">
        <v>25</v>
      </c>
      <c r="H7" s="4" t="s">
        <v>26</v>
      </c>
      <c r="I7" s="4" t="s">
        <v>27</v>
      </c>
      <c r="J7" s="4" t="s">
        <v>28</v>
      </c>
      <c r="K7" s="4" t="s">
        <v>29</v>
      </c>
      <c r="L7" s="4" t="s">
        <v>30</v>
      </c>
      <c r="M7" s="4" t="s">
        <v>31</v>
      </c>
      <c r="N7" s="4" t="s">
        <v>32</v>
      </c>
      <c r="O7" s="43" t="s">
        <v>33</v>
      </c>
      <c r="P7" s="83" t="s">
        <v>34</v>
      </c>
      <c r="Q7" s="17" t="s">
        <v>35</v>
      </c>
      <c r="R7" s="17"/>
      <c r="S7" s="17"/>
    </row>
    <row r="8" spans="1:36" ht="11.25" customHeight="1">
      <c r="A8" s="32"/>
      <c r="B8" s="20">
        <f>IF(slk1mk[[#This Row],[Name]]="","",_xlfn.RANK.EQ(slk1mk[[#This Row],[Result]],_xlnm.Criteria,0))</f>
        <v>2</v>
      </c>
      <c r="C8" s="1" t="s">
        <v>59</v>
      </c>
      <c r="D8" s="1" t="s">
        <v>37</v>
      </c>
      <c r="E8" s="2" t="s">
        <v>38</v>
      </c>
      <c r="F8" s="20" t="s">
        <v>39</v>
      </c>
      <c r="G8" s="5">
        <v>25</v>
      </c>
      <c r="H8" s="5">
        <v>25</v>
      </c>
      <c r="I8" s="5">
        <v>5.0000000000000001E-3</v>
      </c>
      <c r="J8" s="5">
        <v>6.0000000000000001E-3</v>
      </c>
      <c r="K8" s="5">
        <v>7.0000000000000001E-3</v>
      </c>
      <c r="L8" s="5">
        <v>8.0000000000000002E-3</v>
      </c>
      <c r="M8" s="5">
        <v>8.9999999999999993E-3</v>
      </c>
      <c r="N8" s="5">
        <v>0.01</v>
      </c>
      <c r="O8" s="33" cm="1">
        <f t="array" ref="O8">SUMPRODUCT(slk1mk[[#This Row],[1]:[8]]*(slk1mk[[#This Row],[1]:[8]]&gt;=slk1mk[[#This Row],[L]]))</f>
        <v>50.033999999999999</v>
      </c>
      <c r="P8" s="96">
        <f>IF(slk1mk[[#This Row],[Name]]="",0,LARGE(slk1mk[[#This Row],[1]:[8]],$D$2))</f>
        <v>7.0000000000000001E-3</v>
      </c>
      <c r="Q8" s="91" t="str">
        <f>IF(OR((COUNTIFS(slk1mk[[#This Row],[1]:[8]],"="&amp;slk1mk[[#This Row],[L]])=6),(COUNTIFS(slk1mk[[#This Row],[1]:[8]],"="&amp;slk1mk[[#This Row],[L]])&lt;2)),"OK","Fehler (zu wenig Streicher) [Gleiche Werte jeweils um 0,1 erhöhen]")</f>
        <v>OK</v>
      </c>
      <c r="R8" s="6"/>
      <c r="S8" s="2"/>
      <c r="T8" s="4"/>
      <c r="U8" s="1"/>
      <c r="AI8" s="1"/>
      <c r="AJ8" s="1"/>
    </row>
    <row r="9" spans="1:36" ht="11.25" customHeight="1">
      <c r="A9" s="32"/>
      <c r="B9" s="20">
        <f>IF(slk1mk[[#This Row],[Name]]="","",_xlfn.RANK.EQ(slk1mk[[#This Row],[Result]],_xlnm.Criteria,0))</f>
        <v>1</v>
      </c>
      <c r="C9" s="1" t="s">
        <v>60</v>
      </c>
      <c r="D9" s="1" t="s">
        <v>61</v>
      </c>
      <c r="E9" s="2" t="s">
        <v>62</v>
      </c>
      <c r="F9" s="20" t="s">
        <v>39</v>
      </c>
      <c r="G9" s="5">
        <v>1E-3</v>
      </c>
      <c r="H9" s="5">
        <v>2E-3</v>
      </c>
      <c r="I9" s="5">
        <v>3.0000000000000001E-3</v>
      </c>
      <c r="J9" s="5">
        <v>4.0000000000000001E-3</v>
      </c>
      <c r="K9" s="5">
        <v>25</v>
      </c>
      <c r="L9" s="5">
        <v>25</v>
      </c>
      <c r="M9" s="5">
        <v>25</v>
      </c>
      <c r="N9" s="5">
        <v>25</v>
      </c>
      <c r="O9" s="33" cm="1">
        <f t="array" ref="O9">SUMPRODUCT(slk1mk[[#This Row],[1]:[8]]*(slk1mk[[#This Row],[1]:[8]]&gt;=slk1mk[[#This Row],[L]]))</f>
        <v>100.00700000000001</v>
      </c>
      <c r="P9" s="99">
        <f>IF(slk1mk[[#This Row],[Name]]="",0,LARGE(slk1mk[[#This Row],[1]:[8]],$D$2))</f>
        <v>3.0000000000000001E-3</v>
      </c>
      <c r="Q9" s="91" t="str">
        <f>IF(OR((COUNTIFS(slk1mk[[#This Row],[1]:[8]],"="&amp;slk1mk[[#This Row],[L]])=6),(COUNTIFS(slk1mk[[#This Row],[1]:[8]],"="&amp;slk1mk[[#This Row],[L]])&lt;2)),"OK","Fehler (zu wenig Streicher) [Gleiche Werte jeweils um 0,1 erhöhen]")</f>
        <v>OK</v>
      </c>
      <c r="S9" s="2"/>
      <c r="U9" s="1"/>
      <c r="AI9" s="1"/>
      <c r="AJ9" s="1"/>
    </row>
    <row r="10" spans="1:36" ht="11.25" customHeight="1">
      <c r="A10" s="32"/>
      <c r="B10" s="20" t="str">
        <f>IF(slk1mk[[#This Row],[Name]]="","",_xlfn.RANK.EQ(slk1mk[[#This Row],[Result]],_xlnm.Criteria,0))</f>
        <v/>
      </c>
      <c r="E10" s="2"/>
      <c r="F10" s="20"/>
      <c r="G10" s="5">
        <v>5.0000000000000001E-3</v>
      </c>
      <c r="H10" s="5">
        <v>5.0000000000000001E-3</v>
      </c>
      <c r="I10" s="5">
        <v>5.0000000000000001E-3</v>
      </c>
      <c r="J10" s="5">
        <v>6.0000000000000001E-3</v>
      </c>
      <c r="K10" s="5">
        <v>7.0000000000000001E-3</v>
      </c>
      <c r="L10" s="5">
        <v>8.0000000000000002E-3</v>
      </c>
      <c r="M10" s="5">
        <v>8.9999999999999993E-3</v>
      </c>
      <c r="N10" s="5">
        <v>0.01</v>
      </c>
      <c r="O10" s="33" cm="1">
        <f t="array" ref="O10">SUMPRODUCT(slk1mk[[#This Row],[1]:[8]]*(slk1mk[[#This Row],[1]:[8]]&gt;=slk1mk[[#This Row],[L]]))</f>
        <v>5.5E-2</v>
      </c>
      <c r="P10" s="99">
        <f>IF(slk1mk[[#This Row],[Name]]="",0,LARGE(slk1mk[[#This Row],[1]:[8]],$D$2))</f>
        <v>0</v>
      </c>
      <c r="Q10" s="91" t="str">
        <f>IF(OR((COUNTIFS(slk1mk[[#This Row],[1]:[8]],"="&amp;slk1mk[[#This Row],[L]])=6),(COUNTIFS(slk1mk[[#This Row],[1]:[8]],"="&amp;slk1mk[[#This Row],[L]])&lt;2)),"OK","Fehler (zu wenig Streicher) [Gleiche Werte jeweils um 0,1 erhöhen]")</f>
        <v>OK</v>
      </c>
      <c r="R10" s="6"/>
      <c r="S10" s="2"/>
      <c r="U10" s="1"/>
      <c r="AI10" s="1"/>
      <c r="AJ10" s="1"/>
    </row>
    <row r="11" spans="1:36" ht="11.25" customHeight="1">
      <c r="A11" s="32"/>
      <c r="B11" s="20" t="str">
        <f>IF(slk1mk[[#This Row],[Name]]="","",_xlfn.RANK.EQ(slk1mk[[#This Row],[Result]],_xlnm.Criteria,0))</f>
        <v/>
      </c>
      <c r="E11" s="2"/>
      <c r="F11" s="20"/>
      <c r="G11" s="5">
        <v>5.0000000000000001E-3</v>
      </c>
      <c r="H11" s="5">
        <v>5.0000000000000001E-3</v>
      </c>
      <c r="I11" s="5">
        <v>5.0000000000000001E-3</v>
      </c>
      <c r="J11" s="5">
        <v>6.0000000000000001E-3</v>
      </c>
      <c r="K11" s="5">
        <v>7.0000000000000001E-3</v>
      </c>
      <c r="L11" s="5">
        <v>8.0000000000000002E-3</v>
      </c>
      <c r="M11" s="5">
        <v>8.9999999999999993E-3</v>
      </c>
      <c r="N11" s="5">
        <v>0.01</v>
      </c>
      <c r="O11" s="33" cm="1">
        <f t="array" ref="O11">SUMPRODUCT(slk1mk[[#This Row],[1]:[8]]*(slk1mk[[#This Row],[1]:[8]]&gt;=slk1mk[[#This Row],[L]]))</f>
        <v>5.5E-2</v>
      </c>
      <c r="P11" s="99">
        <f>IF(slk1mk[[#This Row],[Name]]="",0,LARGE(slk1mk[[#This Row],[1]:[8]],$D$2))</f>
        <v>0</v>
      </c>
      <c r="Q11" s="91" t="str">
        <f>IF(OR((COUNTIFS(slk1mk[[#This Row],[1]:[8]],"="&amp;slk1mk[[#This Row],[L]])=6),(COUNTIFS(slk1mk[[#This Row],[1]:[8]],"="&amp;slk1mk[[#This Row],[L]])&lt;2)),"OK","Fehler (zu wenig Streicher) [Gleiche Werte jeweils um 0,1 erhöhen]")</f>
        <v>OK</v>
      </c>
      <c r="S11" s="2"/>
      <c r="U11" s="1"/>
      <c r="AI11" s="1"/>
      <c r="AJ11" s="1"/>
    </row>
    <row r="12" spans="1:36" ht="11.25" customHeight="1">
      <c r="A12" s="32"/>
      <c r="B12" s="20" t="str">
        <f>IF(slk1mk[[#This Row],[Name]]="","",_xlfn.RANK.EQ(slk1mk[[#This Row],[Result]],_xlnm.Criteria,0))</f>
        <v/>
      </c>
      <c r="E12" s="2"/>
      <c r="F12" s="20"/>
      <c r="G12" s="5">
        <v>5.0000000000000001E-3</v>
      </c>
      <c r="H12" s="5">
        <v>5.0000000000000001E-3</v>
      </c>
      <c r="I12" s="5">
        <v>5.0000000000000001E-3</v>
      </c>
      <c r="J12" s="5">
        <v>6.0000000000000001E-3</v>
      </c>
      <c r="K12" s="5">
        <v>7.0000000000000001E-3</v>
      </c>
      <c r="L12" s="5">
        <v>8.0000000000000002E-3</v>
      </c>
      <c r="M12" s="5">
        <v>8.9999999999999993E-3</v>
      </c>
      <c r="N12" s="5">
        <v>0.01</v>
      </c>
      <c r="O12" s="33" cm="1">
        <f t="array" ref="O12">SUMPRODUCT(slk1mk[[#This Row],[1]:[8]]*(slk1mk[[#This Row],[1]:[8]]&gt;=slk1mk[[#This Row],[L]]))</f>
        <v>5.5E-2</v>
      </c>
      <c r="P12" s="99">
        <f>IF(slk1mk[[#This Row],[Name]]="",0,LARGE(slk1mk[[#This Row],[1]:[8]],$D$2))</f>
        <v>0</v>
      </c>
      <c r="Q12" s="91" t="str">
        <f>IF(OR((COUNTIFS(slk1mk[[#This Row],[1]:[8]],"="&amp;slk1mk[[#This Row],[L]])=6),(COUNTIFS(slk1mk[[#This Row],[1]:[8]],"="&amp;slk1mk[[#This Row],[L]])&lt;2)),"OK","Fehler (zu wenig Streicher) [Gleiche Werte jeweils um 0,1 erhöhen]")</f>
        <v>OK</v>
      </c>
      <c r="S12" s="18"/>
      <c r="U12" s="1"/>
      <c r="AI12" s="1"/>
      <c r="AJ12" s="1"/>
    </row>
    <row r="13" spans="1:36" ht="11.25" customHeight="1">
      <c r="A13" s="32"/>
      <c r="B13" s="20" t="str">
        <f>IF(slk1mk[[#This Row],[Name]]="","",_xlfn.RANK.EQ(slk1mk[[#This Row],[Result]],_xlnm.Criteria,0))</f>
        <v/>
      </c>
      <c r="E13" s="2"/>
      <c r="F13" s="20"/>
      <c r="G13" s="5">
        <v>5.0000000000000001E-3</v>
      </c>
      <c r="H13" s="5">
        <v>5.0000000000000001E-3</v>
      </c>
      <c r="I13" s="5">
        <v>5.0000000000000001E-3</v>
      </c>
      <c r="J13" s="5">
        <v>6.0000000000000001E-3</v>
      </c>
      <c r="K13" s="5">
        <v>7.0000000000000001E-3</v>
      </c>
      <c r="L13" s="5">
        <v>8.0000000000000002E-3</v>
      </c>
      <c r="M13" s="5">
        <v>8.9999999999999993E-3</v>
      </c>
      <c r="N13" s="5">
        <v>0.01</v>
      </c>
      <c r="O13" s="33" cm="1">
        <f t="array" ref="O13">SUMPRODUCT(slk1mk[[#This Row],[1]:[8]]*(slk1mk[[#This Row],[1]:[8]]&gt;=slk1mk[[#This Row],[L]]))</f>
        <v>5.5E-2</v>
      </c>
      <c r="P13" s="99">
        <f>IF(slk1mk[[#This Row],[Name]]="",0,LARGE(slk1mk[[#This Row],[1]:[8]],$D$2))</f>
        <v>0</v>
      </c>
      <c r="Q13" s="91" t="str">
        <f>IF(OR((COUNTIFS(slk1mk[[#This Row],[1]:[8]],"="&amp;slk1mk[[#This Row],[L]])=6),(COUNTIFS(slk1mk[[#This Row],[1]:[8]],"="&amp;slk1mk[[#This Row],[L]])&lt;2)),"OK","Fehler (zu wenig Streicher) [Gleiche Werte jeweils um 0,1 erhöhen]")</f>
        <v>OK</v>
      </c>
      <c r="S13" s="19"/>
      <c r="T13" s="4"/>
      <c r="U13" s="1"/>
      <c r="AI13" s="1"/>
      <c r="AJ13" s="1"/>
    </row>
    <row r="14" spans="1:36" ht="11.25" customHeight="1">
      <c r="A14" s="32"/>
      <c r="B14" s="20" t="str">
        <f>IF(slk1mk[[#This Row],[Name]]="","",_xlfn.RANK.EQ(slk1mk[[#This Row],[Result]],_xlnm.Criteria,0))</f>
        <v/>
      </c>
      <c r="E14" s="2"/>
      <c r="F14" s="20"/>
      <c r="G14" s="5">
        <v>5.0000000000000001E-3</v>
      </c>
      <c r="H14" s="5">
        <v>5.0000000000000001E-3</v>
      </c>
      <c r="I14" s="5">
        <v>5.0000000000000001E-3</v>
      </c>
      <c r="J14" s="5">
        <v>6.0000000000000001E-3</v>
      </c>
      <c r="K14" s="5">
        <v>7.0000000000000001E-3</v>
      </c>
      <c r="L14" s="5">
        <v>8.0000000000000002E-3</v>
      </c>
      <c r="M14" s="5">
        <v>8.9999999999999993E-3</v>
      </c>
      <c r="N14" s="5">
        <v>0.01</v>
      </c>
      <c r="O14" s="33" cm="1">
        <f t="array" ref="O14">SUMPRODUCT(slk1mk[[#This Row],[1]:[8]]*(slk1mk[[#This Row],[1]:[8]]&gt;=slk1mk[[#This Row],[L]]))</f>
        <v>5.5E-2</v>
      </c>
      <c r="P14" s="99">
        <f>IF(slk1mk[[#This Row],[Name]]="",0,LARGE(slk1mk[[#This Row],[1]:[8]],$D$2))</f>
        <v>0</v>
      </c>
      <c r="Q14" s="91" t="str">
        <f>IF(OR((COUNTIFS(slk1mk[[#This Row],[1]:[8]],"="&amp;slk1mk[[#This Row],[L]])=6),(COUNTIFS(slk1mk[[#This Row],[1]:[8]],"="&amp;slk1mk[[#This Row],[L]])&lt;2)),"OK","Fehler (zu wenig Streicher) [Gleiche Werte jeweils um 0,1 erhöhen]")</f>
        <v>OK</v>
      </c>
      <c r="U14" s="1"/>
      <c r="AI14" s="1"/>
      <c r="AJ14" s="1"/>
    </row>
    <row r="15" spans="1:36" ht="11.25" customHeight="1">
      <c r="A15" s="32"/>
      <c r="B15" s="20" t="str">
        <f>IF(slk1mk[[#This Row],[Name]]="","",_xlfn.RANK.EQ(slk1mk[[#This Row],[Result]],_xlnm.Criteria,0))</f>
        <v/>
      </c>
      <c r="E15" s="2"/>
      <c r="F15" s="20"/>
      <c r="G15" s="5">
        <v>5.0000000000000001E-3</v>
      </c>
      <c r="H15" s="5">
        <v>5.0000000000000001E-3</v>
      </c>
      <c r="I15" s="5">
        <v>5.0000000000000001E-3</v>
      </c>
      <c r="J15" s="5">
        <v>6.0000000000000001E-3</v>
      </c>
      <c r="K15" s="5">
        <v>7.0000000000000001E-3</v>
      </c>
      <c r="L15" s="5">
        <v>8.0000000000000002E-3</v>
      </c>
      <c r="M15" s="5">
        <v>8.9999999999999993E-3</v>
      </c>
      <c r="N15" s="5">
        <v>0.01</v>
      </c>
      <c r="O15" s="33" cm="1">
        <f t="array" ref="O15">SUMPRODUCT(slk1mk[[#This Row],[1]:[8]]*(slk1mk[[#This Row],[1]:[8]]&gt;=slk1mk[[#This Row],[L]]))</f>
        <v>5.5E-2</v>
      </c>
      <c r="P15" s="99">
        <f>IF(slk1mk[[#This Row],[Name]]="",0,LARGE(slk1mk[[#This Row],[1]:[8]],$D$2))</f>
        <v>0</v>
      </c>
      <c r="Q15" s="91" t="str">
        <f>IF(OR((COUNTIFS(slk1mk[[#This Row],[1]:[8]],"="&amp;slk1mk[[#This Row],[L]])=6),(COUNTIFS(slk1mk[[#This Row],[1]:[8]],"="&amp;slk1mk[[#This Row],[L]])&lt;2)),"OK","Fehler (zu wenig Streicher) [Gleiche Werte jeweils um 0,1 erhöhen]")</f>
        <v>OK</v>
      </c>
      <c r="U15" s="1"/>
      <c r="AI15" s="1"/>
      <c r="AJ15" s="1"/>
    </row>
    <row r="16" spans="1:36" ht="11.25" customHeight="1">
      <c r="A16" s="32"/>
      <c r="B16" s="20" t="str">
        <f>IF(slk1mk[[#This Row],[Name]]="","",_xlfn.RANK.EQ(slk1mk[[#This Row],[Result]],_xlnm.Criteria,0))</f>
        <v/>
      </c>
      <c r="E16" s="2"/>
      <c r="F16" s="20"/>
      <c r="G16" s="5">
        <v>5.0000000000000001E-3</v>
      </c>
      <c r="H16" s="5">
        <v>5.0000000000000001E-3</v>
      </c>
      <c r="I16" s="5">
        <v>5.0000000000000001E-3</v>
      </c>
      <c r="J16" s="5">
        <v>6.0000000000000001E-3</v>
      </c>
      <c r="K16" s="5">
        <v>7.0000000000000001E-3</v>
      </c>
      <c r="L16" s="5">
        <v>8.0000000000000002E-3</v>
      </c>
      <c r="M16" s="5">
        <v>8.9999999999999993E-3</v>
      </c>
      <c r="N16" s="5">
        <v>0.01</v>
      </c>
      <c r="O16" s="33" cm="1">
        <f t="array" ref="O16">SUMPRODUCT(slk1mk[[#This Row],[1]:[8]]*(slk1mk[[#This Row],[1]:[8]]&gt;=slk1mk[[#This Row],[L]]))</f>
        <v>5.5E-2</v>
      </c>
      <c r="P16" s="99">
        <f>IF(slk1mk[[#This Row],[Name]]="",0,LARGE(slk1mk[[#This Row],[1]:[8]],$D$2))</f>
        <v>0</v>
      </c>
      <c r="Q16" s="91" t="str">
        <f>IF(OR((COUNTIFS(slk1mk[[#This Row],[1]:[8]],"="&amp;slk1mk[[#This Row],[L]])=6),(COUNTIFS(slk1mk[[#This Row],[1]:[8]],"="&amp;slk1mk[[#This Row],[L]])&lt;2)),"OK","Fehler (zu wenig Streicher) [Gleiche Werte jeweils um 0,1 erhöhen]")</f>
        <v>OK</v>
      </c>
      <c r="U16" s="1"/>
      <c r="AI16" s="1"/>
      <c r="AJ16" s="1"/>
    </row>
    <row r="17" spans="1:36" ht="11.25" customHeight="1">
      <c r="A17" s="32"/>
      <c r="B17" s="20" t="str">
        <f>IF(slk1mk[[#This Row],[Name]]="","",_xlfn.RANK.EQ(slk1mk[[#This Row],[Result]],_xlnm.Criteria,0))</f>
        <v/>
      </c>
      <c r="E17" s="2"/>
      <c r="F17" s="20"/>
      <c r="G17" s="5">
        <v>5.0000000000000001E-3</v>
      </c>
      <c r="H17" s="5">
        <v>5.0000000000000001E-3</v>
      </c>
      <c r="I17" s="5">
        <v>5.0000000000000001E-3</v>
      </c>
      <c r="J17" s="5">
        <v>6.0000000000000001E-3</v>
      </c>
      <c r="K17" s="5">
        <v>7.0000000000000001E-3</v>
      </c>
      <c r="L17" s="5">
        <v>8.0000000000000002E-3</v>
      </c>
      <c r="M17" s="5">
        <v>8.9999999999999993E-3</v>
      </c>
      <c r="N17" s="5">
        <v>0.01</v>
      </c>
      <c r="O17" s="33" cm="1">
        <f t="array" ref="O17">SUMPRODUCT(slk1mk[[#This Row],[1]:[8]]*(slk1mk[[#This Row],[1]:[8]]&gt;=slk1mk[[#This Row],[L]]))</f>
        <v>5.5E-2</v>
      </c>
      <c r="P17" s="99">
        <f>IF(slk1mk[[#This Row],[Name]]="",0,LARGE(slk1mk[[#This Row],[1]:[8]],$D$2))</f>
        <v>0</v>
      </c>
      <c r="Q17" s="91" t="str">
        <f>IF(OR((COUNTIFS(slk1mk[[#This Row],[1]:[8]],"="&amp;slk1mk[[#This Row],[L]])=6),(COUNTIFS(slk1mk[[#This Row],[1]:[8]],"="&amp;slk1mk[[#This Row],[L]])&lt;2)),"OK","Fehler (zu wenig Streicher) [Gleiche Werte jeweils um 0,1 erhöhen]")</f>
        <v>OK</v>
      </c>
      <c r="U17" s="1"/>
      <c r="AI17" s="1"/>
      <c r="AJ17" s="1"/>
    </row>
    <row r="18" spans="1:36" ht="11.25" customHeight="1">
      <c r="A18" s="32"/>
      <c r="B18" s="20" t="str">
        <f>IF(slk1mk[[#This Row],[Name]]="","",_xlfn.RANK.EQ(slk1mk[[#This Row],[Result]],_xlnm.Criteria,0))</f>
        <v/>
      </c>
      <c r="E18" s="2"/>
      <c r="F18" s="20"/>
      <c r="G18" s="5">
        <v>5.0000000000000001E-3</v>
      </c>
      <c r="H18" s="5">
        <v>5.0000000000000001E-3</v>
      </c>
      <c r="I18" s="5">
        <v>5.0000000000000001E-3</v>
      </c>
      <c r="J18" s="5">
        <v>6.0000000000000001E-3</v>
      </c>
      <c r="K18" s="5">
        <v>7.0000000000000001E-3</v>
      </c>
      <c r="L18" s="5">
        <v>8.0000000000000002E-3</v>
      </c>
      <c r="M18" s="5">
        <v>8.9999999999999993E-3</v>
      </c>
      <c r="N18" s="5">
        <v>0.01</v>
      </c>
      <c r="O18" s="33" cm="1">
        <f t="array" ref="O18">SUMPRODUCT(slk1mk[[#This Row],[1]:[8]]*(slk1mk[[#This Row],[1]:[8]]&gt;=slk1mk[[#This Row],[L]]))</f>
        <v>5.5E-2</v>
      </c>
      <c r="P18" s="99">
        <f>IF(slk1mk[[#This Row],[Name]]="",0,LARGE(slk1mk[[#This Row],[1]:[8]],$D$2))</f>
        <v>0</v>
      </c>
      <c r="Q18" s="91" t="str">
        <f>IF(OR((COUNTIFS(slk1mk[[#This Row],[1]:[8]],"="&amp;slk1mk[[#This Row],[L]])=6),(COUNTIFS(slk1mk[[#This Row],[1]:[8]],"="&amp;slk1mk[[#This Row],[L]])&lt;2)),"OK","Fehler (zu wenig Streicher) [Gleiche Werte jeweils um 0,1 erhöhen]")</f>
        <v>OK</v>
      </c>
      <c r="U18" s="1"/>
      <c r="AI18" s="1"/>
      <c r="AJ18" s="1"/>
    </row>
    <row r="19" spans="1:36" ht="11.25" customHeight="1">
      <c r="A19" s="32"/>
      <c r="B19" s="20" t="str">
        <f>IF(slk1mk[[#This Row],[Name]]="","",_xlfn.RANK.EQ(slk1mk[[#This Row],[Result]],_xlnm.Criteria,0))</f>
        <v/>
      </c>
      <c r="E19" s="2"/>
      <c r="F19" s="20"/>
      <c r="G19" s="5">
        <v>5.0000000000000001E-3</v>
      </c>
      <c r="H19" s="5">
        <v>5.0000000000000001E-3</v>
      </c>
      <c r="I19" s="5">
        <v>5.0000000000000001E-3</v>
      </c>
      <c r="J19" s="5">
        <v>6.0000000000000001E-3</v>
      </c>
      <c r="K19" s="5">
        <v>7.0000000000000001E-3</v>
      </c>
      <c r="L19" s="5">
        <v>8.0000000000000002E-3</v>
      </c>
      <c r="M19" s="5">
        <v>8.9999999999999993E-3</v>
      </c>
      <c r="N19" s="5">
        <v>0.01</v>
      </c>
      <c r="O19" s="33" cm="1">
        <f t="array" ref="O19">SUMPRODUCT(slk1mk[[#This Row],[1]:[8]]*(slk1mk[[#This Row],[1]:[8]]&gt;=slk1mk[[#This Row],[L]]))</f>
        <v>5.5E-2</v>
      </c>
      <c r="P19" s="99">
        <f>IF(slk1mk[[#This Row],[Name]]="",0,LARGE(slk1mk[[#This Row],[1]:[8]],$D$2))</f>
        <v>0</v>
      </c>
      <c r="Q19" s="91" t="str">
        <f>IF(OR((COUNTIFS(slk1mk[[#This Row],[1]:[8]],"="&amp;slk1mk[[#This Row],[L]])=6),(COUNTIFS(slk1mk[[#This Row],[1]:[8]],"="&amp;slk1mk[[#This Row],[L]])&lt;2)),"OK","Fehler (zu wenig Streicher) [Gleiche Werte jeweils um 0,1 erhöhen]")</f>
        <v>OK</v>
      </c>
      <c r="U19" s="1"/>
      <c r="AI19" s="1"/>
      <c r="AJ19" s="1"/>
    </row>
    <row r="20" spans="1:36" ht="11.25" customHeight="1">
      <c r="A20" s="32"/>
      <c r="B20" s="20" t="str">
        <f>IF(slk1mk[[#This Row],[Name]]="","",_xlfn.RANK.EQ(slk1mk[[#This Row],[Result]],_xlnm.Criteria,0))</f>
        <v/>
      </c>
      <c r="E20" s="2"/>
      <c r="F20" s="20"/>
      <c r="G20" s="5">
        <v>5.0000000000000001E-3</v>
      </c>
      <c r="H20" s="5">
        <v>5.0000000000000001E-3</v>
      </c>
      <c r="I20" s="5">
        <v>5.0000000000000001E-3</v>
      </c>
      <c r="J20" s="5">
        <v>6.0000000000000001E-3</v>
      </c>
      <c r="K20" s="5">
        <v>7.0000000000000001E-3</v>
      </c>
      <c r="L20" s="5">
        <v>8.0000000000000002E-3</v>
      </c>
      <c r="M20" s="5">
        <v>8.9999999999999993E-3</v>
      </c>
      <c r="N20" s="5">
        <v>0.01</v>
      </c>
      <c r="O20" s="33" cm="1">
        <f t="array" ref="O20">SUMPRODUCT(slk1mk[[#This Row],[1]:[8]]*(slk1mk[[#This Row],[1]:[8]]&gt;=slk1mk[[#This Row],[L]]))</f>
        <v>5.5E-2</v>
      </c>
      <c r="P20" s="99">
        <f>IF(slk1mk[[#This Row],[Name]]="",0,LARGE(slk1mk[[#This Row],[1]:[8]],$D$2))</f>
        <v>0</v>
      </c>
      <c r="Q20" s="91" t="str">
        <f>IF(OR((COUNTIFS(slk1mk[[#This Row],[1]:[8]],"="&amp;slk1mk[[#This Row],[L]])=6),(COUNTIFS(slk1mk[[#This Row],[1]:[8]],"="&amp;slk1mk[[#This Row],[L]])&lt;2)),"OK","Fehler (zu wenig Streicher) [Gleiche Werte jeweils um 0,1 erhöhen]")</f>
        <v>OK</v>
      </c>
      <c r="U20" s="1"/>
      <c r="AI20" s="1"/>
      <c r="AJ20" s="1"/>
    </row>
    <row r="21" spans="1:36" ht="11.25" customHeight="1">
      <c r="A21" s="32"/>
      <c r="B21" s="20" t="str">
        <f>IF(slk1mk[[#This Row],[Name]]="","",_xlfn.RANK.EQ(slk1mk[[#This Row],[Result]],_xlnm.Criteria,0))</f>
        <v/>
      </c>
      <c r="E21" s="2"/>
      <c r="F21" s="20"/>
      <c r="G21" s="5">
        <v>5.0000000000000001E-3</v>
      </c>
      <c r="H21" s="5">
        <v>5.0000000000000001E-3</v>
      </c>
      <c r="I21" s="5">
        <v>5.0000000000000001E-3</v>
      </c>
      <c r="J21" s="5">
        <v>6.0000000000000001E-3</v>
      </c>
      <c r="K21" s="5">
        <v>7.0000000000000001E-3</v>
      </c>
      <c r="L21" s="5">
        <v>8.0000000000000002E-3</v>
      </c>
      <c r="M21" s="5">
        <v>8.9999999999999993E-3</v>
      </c>
      <c r="N21" s="5">
        <v>0.01</v>
      </c>
      <c r="O21" s="33" cm="1">
        <f t="array" ref="O21">SUMPRODUCT(slk1mk[[#This Row],[1]:[8]]*(slk1mk[[#This Row],[1]:[8]]&gt;=slk1mk[[#This Row],[L]]))</f>
        <v>5.5E-2</v>
      </c>
      <c r="P21" s="99">
        <f>IF(slk1mk[[#This Row],[Name]]="",0,LARGE(slk1mk[[#This Row],[1]:[8]],$D$2))</f>
        <v>0</v>
      </c>
      <c r="Q21" s="91" t="str">
        <f>IF(OR((COUNTIFS(slk1mk[[#This Row],[1]:[8]],"="&amp;slk1mk[[#This Row],[L]])=6),(COUNTIFS(slk1mk[[#This Row],[1]:[8]],"="&amp;slk1mk[[#This Row],[L]])&lt;2)),"OK","Fehler (zu wenig Streicher) [Gleiche Werte jeweils um 0,1 erhöhen]")</f>
        <v>OK</v>
      </c>
      <c r="U21" s="1"/>
      <c r="AI21" s="1"/>
      <c r="AJ21" s="1"/>
    </row>
    <row r="22" spans="1:36" ht="11.25" customHeight="1" thickBot="1">
      <c r="A22" s="34"/>
      <c r="B22" s="20" t="str">
        <f>IF(slk1mk[[#This Row],[Name]]="","",_xlfn.RANK.EQ(slk1mk[[#This Row],[Result]],_xlnm.Criteria,0))</f>
        <v/>
      </c>
      <c r="C22" s="51"/>
      <c r="D22" s="51"/>
      <c r="E22" s="52"/>
      <c r="F22" s="35"/>
      <c r="G22" s="5">
        <v>5.0000000000000001E-3</v>
      </c>
      <c r="H22" s="5">
        <v>5.0000000000000001E-3</v>
      </c>
      <c r="I22" s="5">
        <v>5.0000000000000001E-3</v>
      </c>
      <c r="J22" s="36">
        <v>6.0000000000000001E-3</v>
      </c>
      <c r="K22" s="36">
        <v>7.0000000000000001E-3</v>
      </c>
      <c r="L22" s="36">
        <v>8.0000000000000002E-3</v>
      </c>
      <c r="M22" s="36">
        <v>8.9999999999999993E-3</v>
      </c>
      <c r="N22" s="36">
        <v>0.01</v>
      </c>
      <c r="O22" s="37" cm="1">
        <f t="array" ref="O22">SUMPRODUCT(slk1mk[[#This Row],[1]:[8]]*(slk1mk[[#This Row],[1]:[8]]&gt;=slk1mk[[#This Row],[L]]))</f>
        <v>5.5E-2</v>
      </c>
      <c r="P22" s="99">
        <f>IF(slk1mk[[#This Row],[Name]]="",0,LARGE(slk1mk[[#This Row],[1]:[8]],$D$2))</f>
        <v>0</v>
      </c>
      <c r="Q22" s="91" t="str">
        <f>IF(OR((COUNTIFS(slk1mk[[#This Row],[1]:[8]],"="&amp;slk1mk[[#This Row],[L]])=6),(COUNTIFS(slk1mk[[#This Row],[1]:[8]],"="&amp;slk1mk[[#This Row],[L]])&lt;2)),"OK","Fehler (zu wenig Streicher) [Gleiche Werte jeweils um 0,1 erhöhen]")</f>
        <v>OK</v>
      </c>
      <c r="U22" s="1"/>
      <c r="AI22" s="1"/>
      <c r="AJ22" s="1"/>
    </row>
    <row r="25" spans="1:36" ht="15" customHeight="1">
      <c r="P25" s="174" t="s">
        <v>17</v>
      </c>
      <c r="S25" s="3"/>
      <c r="T25" s="95"/>
      <c r="U25" s="89"/>
    </row>
    <row r="26" spans="1:36" ht="24.95" customHeight="1" thickBot="1">
      <c r="A26" s="176" t="s">
        <v>40</v>
      </c>
      <c r="B26" s="177"/>
      <c r="C26" s="177"/>
      <c r="D26" s="177"/>
      <c r="E26" s="177"/>
      <c r="F26" s="214"/>
      <c r="G26" s="215"/>
      <c r="H26" s="216"/>
      <c r="I26" s="125"/>
      <c r="J26" s="127"/>
      <c r="K26" s="120"/>
      <c r="L26" s="126"/>
      <c r="M26" s="217"/>
      <c r="N26" s="218"/>
      <c r="O26" s="46"/>
      <c r="P26" s="174"/>
      <c r="Q26" s="89"/>
      <c r="U26" s="1"/>
      <c r="AE26" s="4"/>
      <c r="AF26" s="4"/>
      <c r="AI26" s="1"/>
      <c r="AJ26" s="1"/>
    </row>
    <row r="27" spans="1:36">
      <c r="A27" s="83" t="s">
        <v>19</v>
      </c>
      <c r="B27" s="4" t="s">
        <v>20</v>
      </c>
      <c r="C27" s="4" t="s">
        <v>21</v>
      </c>
      <c r="D27" s="4" t="s">
        <v>22</v>
      </c>
      <c r="E27" s="4" t="s">
        <v>23</v>
      </c>
      <c r="F27" s="4" t="s">
        <v>24</v>
      </c>
      <c r="G27" s="4" t="s">
        <v>25</v>
      </c>
      <c r="H27" s="4" t="s">
        <v>26</v>
      </c>
      <c r="I27" s="4" t="s">
        <v>27</v>
      </c>
      <c r="J27" s="4" t="s">
        <v>28</v>
      </c>
      <c r="K27" s="4" t="s">
        <v>29</v>
      </c>
      <c r="L27" s="4" t="s">
        <v>30</v>
      </c>
      <c r="M27" s="4" t="s">
        <v>31</v>
      </c>
      <c r="N27" s="4" t="s">
        <v>32</v>
      </c>
      <c r="O27" s="43" t="s">
        <v>33</v>
      </c>
      <c r="P27" s="83" t="s">
        <v>34</v>
      </c>
      <c r="Q27" s="17" t="s">
        <v>35</v>
      </c>
      <c r="U27" s="1"/>
      <c r="AE27" s="4"/>
      <c r="AF27" s="4"/>
      <c r="AI27" s="1"/>
      <c r="AJ27" s="1"/>
    </row>
    <row r="28" spans="1:36">
      <c r="A28" s="32"/>
      <c r="B28" s="20">
        <f>IF(slk1wk[[#This Row],[Name]]="","",_xlfn.RANK.EQ(slk1wk[[#This Row],[Result]],slk1wk[Result],0))</f>
        <v>1</v>
      </c>
      <c r="C28" s="1" t="s">
        <v>44</v>
      </c>
      <c r="D28" s="1" t="s">
        <v>45</v>
      </c>
      <c r="E28" s="2" t="s">
        <v>62</v>
      </c>
      <c r="F28" s="20" t="s">
        <v>39</v>
      </c>
      <c r="G28" s="5">
        <v>20.001000000000001</v>
      </c>
      <c r="H28" s="5">
        <v>25.001999999999999</v>
      </c>
      <c r="I28" s="5">
        <v>25.003</v>
      </c>
      <c r="J28" s="5">
        <v>15.004</v>
      </c>
      <c r="K28" s="5">
        <v>25.004999999999999</v>
      </c>
      <c r="L28" s="5">
        <v>25.006</v>
      </c>
      <c r="M28" s="5">
        <v>25.007000000000001</v>
      </c>
      <c r="N28" s="5">
        <v>20.007999999999999</v>
      </c>
      <c r="O28" s="33">
        <f>SUMPRODUCT(slk1wk[[#This Row],[1]:[8]]*(slk1wk[[#This Row],[1]:[8]]&gt;=slk1wk[[#This Row],[L]]))</f>
        <v>145.03100000000001</v>
      </c>
      <c r="P28" s="96">
        <f>IF(slk1wk[[#This Row],[Name]]="",0,LARGE(slk1wk[[#This Row],[1]:[8]],$D$2))</f>
        <v>20.007999999999999</v>
      </c>
      <c r="Q28" s="91" t="str">
        <f>IF(OR((COUNTIFS(slk1wk[[#This Row],[1]:[8]],"="&amp;slk1wk[[#This Row],[L]])=6),(COUNTIFS(slk1wk[[#This Row],[1]:[8]],"="&amp;slk1wk[[#This Row],[L]])&lt;2)),"OK","Fehler (zu wenig Streicher) [Gleiche Werte jeweils um 0,1 erhöhen]")</f>
        <v>OK</v>
      </c>
      <c r="U28" s="1"/>
      <c r="AE28" s="4"/>
      <c r="AF28" s="4"/>
      <c r="AI28" s="1"/>
      <c r="AJ28" s="1"/>
    </row>
    <row r="29" spans="1:36">
      <c r="A29" s="32"/>
      <c r="B29" s="20">
        <f>IF(slk1wk[[#This Row],[Name]]="","",_xlfn.RANK.EQ(slk1wk[[#This Row],[Result]],slk1wk[Result],0))</f>
        <v>2</v>
      </c>
      <c r="C29" s="1" t="s">
        <v>41</v>
      </c>
      <c r="D29" s="1" t="s">
        <v>42</v>
      </c>
      <c r="E29" s="2" t="s">
        <v>62</v>
      </c>
      <c r="F29" s="20" t="s">
        <v>39</v>
      </c>
      <c r="G29" s="5">
        <v>25.001000000000001</v>
      </c>
      <c r="H29" s="5">
        <v>20.010000000000002</v>
      </c>
      <c r="I29" s="5">
        <v>20.02</v>
      </c>
      <c r="J29" s="5">
        <v>25.003</v>
      </c>
      <c r="K29" s="5">
        <v>20.004999999999999</v>
      </c>
      <c r="L29" s="5">
        <v>20.006</v>
      </c>
      <c r="M29" s="5">
        <v>20.07</v>
      </c>
      <c r="N29" s="5">
        <v>25</v>
      </c>
      <c r="O29" s="33">
        <f>SUMPRODUCT(slk1wk[[#This Row],[1]:[8]]*(slk1wk[[#This Row],[1]:[8]]&gt;=slk1wk[[#This Row],[L]]))</f>
        <v>135.10400000000001</v>
      </c>
      <c r="P29" s="98">
        <f>IF(slk1wk[[#This Row],[Name]]="",0,LARGE(slk1wk[[#This Row],[1]:[8]],$D$2))</f>
        <v>20.010000000000002</v>
      </c>
      <c r="Q29" s="91" t="str">
        <f>IF(OR((COUNTIFS(slk1wk[[#This Row],[1]:[8]],"="&amp;slk1wk[[#This Row],[L]])=6),(COUNTIFS(slk1wk[[#This Row],[1]:[8]],"="&amp;slk1wk[[#This Row],[L]])&lt;2)),"OK","Fehler (zu wenig Streicher) [Gleiche Werte jeweils um 0,1 erhöhen]")</f>
        <v>OK</v>
      </c>
      <c r="U29" s="6"/>
      <c r="AE29" s="4"/>
      <c r="AF29" s="4"/>
      <c r="AI29" s="1"/>
      <c r="AJ29" s="1"/>
    </row>
    <row r="30" spans="1:36">
      <c r="A30" s="32"/>
      <c r="B30" s="20">
        <f>IF(slk1wk[[#This Row],[Name]]="","",_xlfn.RANK.EQ(slk1wk[[#This Row],[Result]],slk1wk[Result],0))</f>
        <v>3</v>
      </c>
      <c r="C30" s="1" t="s">
        <v>46</v>
      </c>
      <c r="D30" s="1" t="s">
        <v>45</v>
      </c>
      <c r="E30" s="2" t="s">
        <v>62</v>
      </c>
      <c r="F30" s="20" t="s">
        <v>39</v>
      </c>
      <c r="G30" s="5">
        <v>15.000999999999999</v>
      </c>
      <c r="H30" s="5">
        <v>15.002000000000001</v>
      </c>
      <c r="I30" s="5">
        <v>15.003</v>
      </c>
      <c r="J30" s="5">
        <v>20</v>
      </c>
      <c r="K30" s="5">
        <v>15.005000000000001</v>
      </c>
      <c r="L30" s="5">
        <v>15.006</v>
      </c>
      <c r="M30" s="5">
        <v>15</v>
      </c>
      <c r="N30" s="5">
        <v>15</v>
      </c>
      <c r="O30" s="33">
        <f>SUMPRODUCT(slk1wk[[#This Row],[1]:[8]]*(slk1wk[[#This Row],[1]:[8]]&gt;=slk1wk[[#This Row],[L]]))</f>
        <v>95.016999999999996</v>
      </c>
      <c r="P30" s="98">
        <f>IF(slk1wk[[#This Row],[Name]]="",0,LARGE(slk1wk[[#This Row],[1]:[8]],$D$2))</f>
        <v>15.000999999999999</v>
      </c>
      <c r="Q30" s="91" t="str">
        <f>IF(OR((COUNTIFS(slk1wk[[#This Row],[1]:[8]],"="&amp;slk1wk[[#This Row],[L]])=6),(COUNTIFS(slk1wk[[#This Row],[1]:[8]],"="&amp;slk1wk[[#This Row],[L]])&lt;2)),"OK","Fehler (zu wenig Streicher) [Gleiche Werte jeweils um 0,1 erhöhen]")</f>
        <v>OK</v>
      </c>
      <c r="U30" s="1"/>
      <c r="AE30" s="4"/>
      <c r="AF30" s="4"/>
      <c r="AI30" s="1"/>
      <c r="AJ30" s="1"/>
    </row>
    <row r="31" spans="1:36">
      <c r="A31" s="32"/>
      <c r="B31" s="20" t="str">
        <f>IF(slk1wk[[#This Row],[Name]]="","",_xlfn.RANK.EQ(slk1wk[[#This Row],[Result]],slk1wk[Result],0))</f>
        <v/>
      </c>
      <c r="E31" s="2"/>
      <c r="F31" s="20"/>
      <c r="G31" s="5">
        <v>1E-3</v>
      </c>
      <c r="H31" s="5">
        <v>2E-3</v>
      </c>
      <c r="I31" s="5">
        <v>3.0000000000000001E-3</v>
      </c>
      <c r="J31" s="5">
        <v>4.0000000000000001E-3</v>
      </c>
      <c r="K31" s="5">
        <v>5.0000000000000001E-3</v>
      </c>
      <c r="L31" s="5">
        <v>6.0000000000000001E-3</v>
      </c>
      <c r="M31" s="5">
        <v>7.0000000000000001E-3</v>
      </c>
      <c r="N31" s="5">
        <v>8.0000000000000002E-3</v>
      </c>
      <c r="O31" s="33">
        <f>SUMPRODUCT(slk1wk[[#This Row],[1]:[8]]*(slk1wk[[#This Row],[1]:[8]]&gt;=slk1wk[[#This Row],[L]]))</f>
        <v>3.5999999999999997E-2</v>
      </c>
      <c r="P31" s="98">
        <f>IF(slk1wk[[#This Row],[Name]]="",0,LARGE(slk1wk[[#This Row],[1]:[8]],$D$2))</f>
        <v>0</v>
      </c>
      <c r="Q31" s="91" t="str">
        <f>IF(OR((COUNTIFS(slk1wk[[#This Row],[1]:[8]],"="&amp;slk1wk[[#This Row],[L]])=6),(COUNTIFS(slk1wk[[#This Row],[1]:[8]],"="&amp;slk1wk[[#This Row],[L]])&lt;2)),"OK","Fehler (zu wenig Streicher) [Gleiche Werte jeweils um 0,1 erhöhen]")</f>
        <v>OK</v>
      </c>
      <c r="U31" s="1"/>
      <c r="AE31" s="4"/>
      <c r="AF31" s="4"/>
      <c r="AI31" s="1"/>
      <c r="AJ31" s="1"/>
    </row>
    <row r="32" spans="1:36">
      <c r="A32" s="32"/>
      <c r="B32" s="20" t="str">
        <f>IF(slk1wk[[#This Row],[Name]]="","",_xlfn.RANK.EQ(slk1wk[[#This Row],[Result]],slk1wk[Result],0))</f>
        <v/>
      </c>
      <c r="E32" s="2"/>
      <c r="F32" s="20"/>
      <c r="G32" s="5">
        <v>1E-3</v>
      </c>
      <c r="H32" s="5">
        <v>2E-3</v>
      </c>
      <c r="I32" s="5">
        <v>3.0000000000000001E-3</v>
      </c>
      <c r="J32" s="5">
        <v>4.0000000000000001E-3</v>
      </c>
      <c r="K32" s="5">
        <v>5.0000000000000001E-3</v>
      </c>
      <c r="L32" s="5">
        <v>6.0000000000000001E-3</v>
      </c>
      <c r="M32" s="5">
        <v>7.0000000000000001E-3</v>
      </c>
      <c r="N32" s="5">
        <v>8.0000000000000002E-3</v>
      </c>
      <c r="O32" s="33">
        <f>SUMPRODUCT(slk1wk[[#This Row],[1]:[8]]*(slk1wk[[#This Row],[1]:[8]]&gt;=slk1wk[[#This Row],[L]]))</f>
        <v>3.5999999999999997E-2</v>
      </c>
      <c r="P32" s="98">
        <f>IF(slk1wk[[#This Row],[Name]]="",0,LARGE(slk1wk[[#This Row],[1]:[8]],$D$2))</f>
        <v>0</v>
      </c>
      <c r="Q32" s="91" t="str">
        <f>IF(OR((COUNTIFS(slk1wk[[#This Row],[1]:[8]],"="&amp;slk1wk[[#This Row],[L]])=6),(COUNTIFS(slk1wk[[#This Row],[1]:[8]],"="&amp;slk1wk[[#This Row],[L]])&lt;2)),"OK","Fehler (zu wenig Streicher) [Gleiche Werte jeweils um 0,1 erhöhen]")</f>
        <v>OK</v>
      </c>
      <c r="U32" s="1"/>
      <c r="AE32" s="4"/>
      <c r="AF32" s="4"/>
      <c r="AI32" s="1"/>
      <c r="AJ32" s="1"/>
    </row>
    <row r="33" spans="1:36">
      <c r="A33" s="32"/>
      <c r="B33" s="20" t="str">
        <f>IF(slk1wk[[#This Row],[Name]]="","",_xlfn.RANK.EQ(slk1wk[[#This Row],[Result]],slk1wk[Result],0))</f>
        <v/>
      </c>
      <c r="E33" s="2"/>
      <c r="F33" s="20"/>
      <c r="G33" s="5">
        <v>1E-3</v>
      </c>
      <c r="H33" s="5">
        <v>2E-3</v>
      </c>
      <c r="I33" s="5">
        <v>3.0000000000000001E-3</v>
      </c>
      <c r="J33" s="5">
        <v>4.0000000000000001E-3</v>
      </c>
      <c r="K33" s="5">
        <v>5.0000000000000001E-3</v>
      </c>
      <c r="L33" s="5">
        <v>6.0000000000000001E-3</v>
      </c>
      <c r="M33" s="5">
        <v>7.0000000000000001E-3</v>
      </c>
      <c r="N33" s="5">
        <v>8.0000000000000002E-3</v>
      </c>
      <c r="O33" s="33">
        <f>SUMPRODUCT(slk1wk[[#This Row],[1]:[8]]*(slk1wk[[#This Row],[1]:[8]]&gt;=slk1wk[[#This Row],[L]]))</f>
        <v>3.5999999999999997E-2</v>
      </c>
      <c r="P33" s="98">
        <f>IF(slk1wk[[#This Row],[Name]]="",0,LARGE(slk1wk[[#This Row],[1]:[8]],$D$2))</f>
        <v>0</v>
      </c>
      <c r="Q33" s="91" t="str">
        <f>IF(OR((COUNTIFS(slk1wk[[#This Row],[1]:[8]],"="&amp;slk1wk[[#This Row],[L]])=6),(COUNTIFS(slk1wk[[#This Row],[1]:[8]],"="&amp;slk1wk[[#This Row],[L]])&lt;2)),"OK","Fehler (zu wenig Streicher) [Gleiche Werte jeweils um 0,1 erhöhen]")</f>
        <v>OK</v>
      </c>
      <c r="U33" s="1"/>
      <c r="AE33" s="4"/>
      <c r="AF33" s="4"/>
      <c r="AI33" s="1"/>
      <c r="AJ33" s="1"/>
    </row>
    <row r="34" spans="1:36">
      <c r="A34" s="32"/>
      <c r="B34" s="20" t="str">
        <f>IF(slk1wk[[#This Row],[Name]]="","",_xlfn.RANK.EQ(slk1wk[[#This Row],[Result]],slk1wk[Result],0))</f>
        <v/>
      </c>
      <c r="E34" s="2"/>
      <c r="F34" s="20"/>
      <c r="G34" s="5">
        <v>1E-3</v>
      </c>
      <c r="H34" s="5">
        <v>2E-3</v>
      </c>
      <c r="I34" s="5">
        <v>3.0000000000000001E-3</v>
      </c>
      <c r="J34" s="5">
        <v>4.0000000000000001E-3</v>
      </c>
      <c r="K34" s="5">
        <v>5.0000000000000001E-3</v>
      </c>
      <c r="L34" s="5">
        <v>6.0000000000000001E-3</v>
      </c>
      <c r="M34" s="5">
        <v>7.0000000000000001E-3</v>
      </c>
      <c r="N34" s="5">
        <v>8.0000000000000002E-3</v>
      </c>
      <c r="O34" s="33">
        <f>SUMPRODUCT(slk1wk[[#This Row],[1]:[8]]*(slk1wk[[#This Row],[1]:[8]]&gt;=slk1wk[[#This Row],[L]]))</f>
        <v>3.5999999999999997E-2</v>
      </c>
      <c r="P34" s="98">
        <f>IF(slk1wk[[#This Row],[Name]]="",0,LARGE(slk1wk[[#This Row],[1]:[8]],$D$2))</f>
        <v>0</v>
      </c>
      <c r="Q34" s="91" t="str">
        <f>IF(OR((COUNTIFS(slk1wk[[#This Row],[1]:[8]],"="&amp;slk1wk[[#This Row],[L]])=6),(COUNTIFS(slk1wk[[#This Row],[1]:[8]],"="&amp;slk1wk[[#This Row],[L]])&lt;2)),"OK","Fehler (zu wenig Streicher) [Gleiche Werte jeweils um 0,1 erhöhen]")</f>
        <v>OK</v>
      </c>
      <c r="U34" s="1"/>
      <c r="AE34" s="4"/>
      <c r="AF34" s="4"/>
      <c r="AI34" s="1"/>
      <c r="AJ34" s="1"/>
    </row>
    <row r="35" spans="1:36" ht="12" thickBot="1">
      <c r="A35" s="34"/>
      <c r="B35" s="35" t="str">
        <f>IF(slk1wk[[#This Row],[Name]]="","",_xlfn.RANK.EQ(slk1wk[[#This Row],[Result]],slk1wk[Result],0))</f>
        <v/>
      </c>
      <c r="C35" s="51"/>
      <c r="D35" s="51"/>
      <c r="E35" s="52"/>
      <c r="F35" s="35"/>
      <c r="G35" s="36">
        <v>1E-3</v>
      </c>
      <c r="H35" s="36">
        <v>2E-3</v>
      </c>
      <c r="I35" s="36">
        <v>3.0000000000000001E-3</v>
      </c>
      <c r="J35" s="36">
        <v>4.0000000000000001E-3</v>
      </c>
      <c r="K35" s="36">
        <v>5.0000000000000001E-3</v>
      </c>
      <c r="L35" s="36">
        <v>6.0000000000000001E-3</v>
      </c>
      <c r="M35" s="36">
        <v>7.0000000000000001E-3</v>
      </c>
      <c r="N35" s="36">
        <v>8.0000000000000002E-3</v>
      </c>
      <c r="O35" s="37">
        <f>SUMPRODUCT(slk1wk[[#This Row],[1]:[8]]*(slk1wk[[#This Row],[1]:[8]]&gt;=slk1wk[[#This Row],[L]]))</f>
        <v>3.5999999999999997E-2</v>
      </c>
      <c r="P35" s="98">
        <f>IF(slk1wk[[#This Row],[Name]]="",0,LARGE(slk1wk[[#This Row],[1]:[8]],$D$2))</f>
        <v>0</v>
      </c>
      <c r="Q35" s="91" t="str">
        <f>IF(OR((COUNTIFS(slk1wk[[#This Row],[1]:[8]],"="&amp;slk1wk[[#This Row],[L]])=6),(COUNTIFS(slk1wk[[#This Row],[1]:[8]],"="&amp;slk1wk[[#This Row],[L]])&lt;2)),"OK","Fehler (zu wenig Streicher) [Gleiche Werte jeweils um 0,1 erhöhen]")</f>
        <v>OK</v>
      </c>
      <c r="U35" s="1"/>
      <c r="AE35" s="4"/>
      <c r="AF35" s="4"/>
      <c r="AI35" s="1"/>
      <c r="AJ35" s="1"/>
    </row>
  </sheetData>
  <mergeCells count="18">
    <mergeCell ref="AF1:AH1"/>
    <mergeCell ref="A2:C5"/>
    <mergeCell ref="D2:F5"/>
    <mergeCell ref="M2:N2"/>
    <mergeCell ref="D1:O1"/>
    <mergeCell ref="M4:N4"/>
    <mergeCell ref="A1:C1"/>
    <mergeCell ref="I2:J2"/>
    <mergeCell ref="K4:L4"/>
    <mergeCell ref="I4:J4"/>
    <mergeCell ref="G4:H4"/>
    <mergeCell ref="P25:P26"/>
    <mergeCell ref="A26:F26"/>
    <mergeCell ref="G26:H26"/>
    <mergeCell ref="M26:N26"/>
    <mergeCell ref="P5:P6"/>
    <mergeCell ref="A6:F6"/>
    <mergeCell ref="M6:N6"/>
  </mergeCells>
  <conditionalFormatting sqref="G29:P35 G8:N8 G28:N28 G9:P22">
    <cfRule type="expression" dxfId="330" priority="8">
      <formula>G8&lt;1</formula>
    </cfRule>
  </conditionalFormatting>
  <conditionalFormatting sqref="G28:N35">
    <cfRule type="expression" dxfId="329" priority="10">
      <formula>G28&lt;$P28</formula>
    </cfRule>
  </conditionalFormatting>
  <conditionalFormatting sqref="G8:N22">
    <cfRule type="expression" dxfId="328" priority="71">
      <formula>G8&lt;$P8</formula>
    </cfRule>
  </conditionalFormatting>
  <conditionalFormatting sqref="G29:O35 G8:N8 G28:N28 G9:O22">
    <cfRule type="expression" dxfId="327" priority="76">
      <formula>G8&gt;=$P8</formula>
    </cfRule>
  </conditionalFormatting>
  <conditionalFormatting sqref="O8:P8">
    <cfRule type="expression" dxfId="326" priority="3">
      <formula>O8&lt;1</formula>
    </cfRule>
  </conditionalFormatting>
  <conditionalFormatting sqref="O8">
    <cfRule type="expression" dxfId="325" priority="4">
      <formula>O8&gt;=$O8</formula>
    </cfRule>
  </conditionalFormatting>
  <conditionalFormatting sqref="O28:P28">
    <cfRule type="expression" dxfId="324" priority="1">
      <formula>O28&lt;1</formula>
    </cfRule>
  </conditionalFormatting>
  <conditionalFormatting sqref="O28">
    <cfRule type="expression" dxfId="323" priority="2">
      <formula>O28&gt;=$O28</formula>
    </cfRule>
  </conditionalFormatting>
  <pageMargins left="0.70866141732283472" right="0.70866141732283472" top="0.78740157480314965" bottom="0.78740157480314965" header="0.31496062992125984" footer="0.31496062992125984"/>
  <pageSetup paperSize="9" scale="68" fitToHeight="3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5C23-5EBD-4C15-9A06-D73AC7E80E7E}">
  <sheetPr codeName="Tabelle4"/>
  <dimension ref="A1:AT64"/>
  <sheetViews>
    <sheetView topLeftCell="A4" zoomScaleNormal="100" workbookViewId="0">
      <selection activeCell="D73" sqref="D73"/>
    </sheetView>
  </sheetViews>
  <sheetFormatPr defaultColWidth="11.42578125" defaultRowHeight="11.25"/>
  <cols>
    <col min="1" max="1" width="27.42578125" style="2" customWidth="1"/>
    <col min="2" max="2" width="5.7109375" style="2" customWidth="1"/>
    <col min="3" max="4" width="15.7109375" style="1" customWidth="1"/>
    <col min="5" max="5" width="15.7109375" style="20" customWidth="1"/>
    <col min="6" max="6" width="4.7109375" style="2" customWidth="1"/>
    <col min="7" max="17" width="3.85546875" style="2" customWidth="1"/>
    <col min="18" max="18" width="3.85546875" style="1" customWidth="1"/>
    <col min="19" max="19" width="7.7109375" style="1" customWidth="1"/>
    <col min="20" max="20" width="3.7109375" style="1" customWidth="1"/>
    <col min="21" max="21" width="5.7109375" style="17" customWidth="1"/>
    <col min="22" max="25" width="3.140625" style="1" customWidth="1"/>
    <col min="26" max="27" width="3.28515625" style="1" customWidth="1"/>
    <col min="28" max="28" width="1.85546875" style="1" bestFit="1" customWidth="1"/>
    <col min="29" max="29" width="3" style="1" customWidth="1"/>
    <col min="30" max="44" width="3.28515625" style="1" customWidth="1"/>
    <col min="45" max="45" width="6.42578125" style="4" customWidth="1"/>
    <col min="46" max="46" width="3.28515625" style="4" customWidth="1"/>
    <col min="47" max="47" width="11.42578125" style="1"/>
    <col min="48" max="48" width="8.7109375" style="1" customWidth="1"/>
    <col min="49" max="49" width="6.85546875" style="1" customWidth="1"/>
    <col min="50" max="50" width="8.42578125" style="1" customWidth="1"/>
    <col min="51" max="16384" width="11.42578125" style="1"/>
  </cols>
  <sheetData>
    <row r="1" spans="1:46" ht="60" customHeight="1" thickBot="1">
      <c r="A1" s="189" t="s">
        <v>0</v>
      </c>
      <c r="B1" s="190"/>
      <c r="C1" s="190"/>
      <c r="D1" s="187" t="s">
        <v>1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8"/>
      <c r="P1" s="109"/>
      <c r="Q1" s="110"/>
      <c r="R1" s="110"/>
      <c r="S1" s="110"/>
      <c r="T1" s="22"/>
      <c r="U1" s="90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191"/>
      <c r="AQ1" s="191"/>
      <c r="AR1" s="191"/>
    </row>
    <row r="2" spans="1:46" s="3" customFormat="1" ht="30" customHeight="1">
      <c r="A2" s="192" t="s">
        <v>72</v>
      </c>
      <c r="B2" s="193"/>
      <c r="C2" s="193"/>
      <c r="D2" s="196">
        <v>6</v>
      </c>
      <c r="E2" s="196"/>
      <c r="F2" s="197"/>
      <c r="G2" s="200" t="s">
        <v>3</v>
      </c>
      <c r="H2" s="201"/>
      <c r="I2" s="202" t="s">
        <v>3</v>
      </c>
      <c r="J2" s="203"/>
      <c r="K2" s="202" t="s">
        <v>3</v>
      </c>
      <c r="L2" s="203"/>
      <c r="M2" s="204" t="s">
        <v>3</v>
      </c>
      <c r="N2" s="205"/>
      <c r="O2" s="38"/>
      <c r="Q2" s="89"/>
    </row>
    <row r="3" spans="1:46" s="3" customFormat="1" ht="75" customHeight="1">
      <c r="A3" s="194"/>
      <c r="B3" s="195"/>
      <c r="C3" s="195"/>
      <c r="D3" s="198"/>
      <c r="E3" s="198"/>
      <c r="F3" s="199"/>
      <c r="G3" s="206"/>
      <c r="H3" s="207"/>
      <c r="I3" s="208"/>
      <c r="J3" s="209"/>
      <c r="K3" s="208"/>
      <c r="L3" s="209"/>
      <c r="M3" s="210" t="s">
        <v>4</v>
      </c>
      <c r="N3" s="211"/>
      <c r="O3" s="39"/>
      <c r="Q3" s="89"/>
    </row>
    <row r="4" spans="1:46" s="3" customFormat="1" ht="39.950000000000003" customHeight="1">
      <c r="A4" s="194"/>
      <c r="B4" s="195"/>
      <c r="C4" s="195"/>
      <c r="D4" s="198"/>
      <c r="E4" s="198"/>
      <c r="F4" s="199"/>
      <c r="G4" s="206" t="s">
        <v>5</v>
      </c>
      <c r="H4" s="207"/>
      <c r="I4" s="212" t="s">
        <v>6</v>
      </c>
      <c r="J4" s="209"/>
      <c r="K4" s="212" t="s">
        <v>7</v>
      </c>
      <c r="L4" s="209"/>
      <c r="M4" s="184" t="s">
        <v>8</v>
      </c>
      <c r="N4" s="185"/>
      <c r="O4" s="39"/>
      <c r="Q4" s="89"/>
    </row>
    <row r="5" spans="1:46" s="3" customFormat="1" ht="90" customHeight="1">
      <c r="A5" s="194"/>
      <c r="B5" s="195"/>
      <c r="C5" s="195"/>
      <c r="D5" s="198"/>
      <c r="E5" s="198"/>
      <c r="F5" s="199"/>
      <c r="G5" s="76" t="s">
        <v>9</v>
      </c>
      <c r="H5" s="77" t="s">
        <v>10</v>
      </c>
      <c r="I5" s="69" t="s">
        <v>11</v>
      </c>
      <c r="J5" s="70" t="s">
        <v>12</v>
      </c>
      <c r="K5" s="69" t="s">
        <v>13</v>
      </c>
      <c r="L5" s="70" t="s">
        <v>14</v>
      </c>
      <c r="M5" s="80" t="s">
        <v>15</v>
      </c>
      <c r="N5" s="81" t="s">
        <v>16</v>
      </c>
      <c r="O5" s="39"/>
      <c r="P5" s="186" t="s">
        <v>17</v>
      </c>
      <c r="Q5" s="89"/>
    </row>
    <row r="6" spans="1:46" s="3" customFormat="1" ht="24.95" customHeight="1" thickBot="1">
      <c r="A6" s="176" t="s">
        <v>18</v>
      </c>
      <c r="B6" s="177"/>
      <c r="C6" s="177"/>
      <c r="D6" s="177"/>
      <c r="E6" s="177"/>
      <c r="F6" s="177"/>
      <c r="G6" s="178"/>
      <c r="H6" s="179"/>
      <c r="I6" s="180"/>
      <c r="J6" s="181"/>
      <c r="K6" s="180"/>
      <c r="L6" s="181"/>
      <c r="M6" s="182"/>
      <c r="N6" s="183"/>
      <c r="O6" s="46"/>
      <c r="P6" s="186"/>
      <c r="Q6" s="89"/>
    </row>
    <row r="7" spans="1:46" s="4" customFormat="1" ht="11.25" customHeight="1" thickBot="1">
      <c r="A7" s="40" t="s">
        <v>19</v>
      </c>
      <c r="B7" s="41" t="s">
        <v>20</v>
      </c>
      <c r="C7" s="41" t="s">
        <v>21</v>
      </c>
      <c r="D7" s="41" t="s">
        <v>22</v>
      </c>
      <c r="E7" s="41" t="s">
        <v>23</v>
      </c>
      <c r="F7" s="41" t="s">
        <v>24</v>
      </c>
      <c r="G7" s="41" t="s">
        <v>25</v>
      </c>
      <c r="H7" s="41" t="s">
        <v>26</v>
      </c>
      <c r="I7" s="41" t="s">
        <v>27</v>
      </c>
      <c r="J7" s="41" t="s">
        <v>28</v>
      </c>
      <c r="K7" s="41" t="s">
        <v>29</v>
      </c>
      <c r="L7" s="41" t="s">
        <v>30</v>
      </c>
      <c r="M7" s="41" t="s">
        <v>31</v>
      </c>
      <c r="N7" s="41" t="s">
        <v>32</v>
      </c>
      <c r="O7" s="43" t="s">
        <v>33</v>
      </c>
      <c r="P7" s="4" t="s">
        <v>34</v>
      </c>
      <c r="Q7" s="17" t="s">
        <v>35</v>
      </c>
      <c r="R7" s="17"/>
      <c r="S7" s="17"/>
    </row>
    <row r="8" spans="1:46" ht="11.25" customHeight="1">
      <c r="A8" s="101" t="s">
        <v>73</v>
      </c>
      <c r="B8" s="102">
        <f>IF(spk1mu14[[#This Row],[Name]]="","",_xlfn.RANK.EQ(spk1mu14[[#This Row],[Result]],_xlnm.Criteria,0))</f>
        <v>1</v>
      </c>
      <c r="C8" s="103" t="s">
        <v>74</v>
      </c>
      <c r="D8" s="103" t="s">
        <v>75</v>
      </c>
      <c r="E8" s="104" t="s">
        <v>76</v>
      </c>
      <c r="F8" s="102" t="s">
        <v>39</v>
      </c>
      <c r="G8" s="105">
        <v>25</v>
      </c>
      <c r="H8" s="105">
        <v>25</v>
      </c>
      <c r="I8" s="105">
        <v>2E-3</v>
      </c>
      <c r="J8" s="105">
        <v>3.0000000000000001E-3</v>
      </c>
      <c r="K8" s="105">
        <v>4.0000000000000001E-3</v>
      </c>
      <c r="L8" s="105">
        <v>5.0000000000000001E-3</v>
      </c>
      <c r="M8" s="105">
        <v>26</v>
      </c>
      <c r="N8" s="105">
        <v>20</v>
      </c>
      <c r="O8" s="106">
        <f>SUMPRODUCT(spk1mu14[[#This Row],[1]:[8]]*(spk1mu14[[#This Row],[1]:[8]]&gt;=spk1mu14[[#This Row],[L]]))</f>
        <v>96.009</v>
      </c>
      <c r="P8" s="96">
        <f>IF(spk1mu14[[#This Row],[Name]]="",0,LARGE(spk1mu14[[#This Row],[1]:[8]],$D$2))</f>
        <v>4.0000000000000001E-3</v>
      </c>
      <c r="Q8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OK</v>
      </c>
      <c r="R8" s="6"/>
      <c r="S8" s="2"/>
      <c r="U8" s="1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S8" s="1"/>
      <c r="AT8" s="1"/>
    </row>
    <row r="9" spans="1:46" ht="11.25" customHeight="1">
      <c r="A9" s="32"/>
      <c r="B9" s="20">
        <f>IF(spk1mu14[[#This Row],[Name]]="","",_xlfn.RANK.EQ(spk1mu14[[#This Row],[Result]],_xlnm.Criteria,0))</f>
        <v>2</v>
      </c>
      <c r="C9" s="1" t="s">
        <v>77</v>
      </c>
      <c r="D9" s="1" t="s">
        <v>78</v>
      </c>
      <c r="E9" s="2" t="s">
        <v>79</v>
      </c>
      <c r="F9" s="20" t="s">
        <v>39</v>
      </c>
      <c r="G9" s="5">
        <v>0</v>
      </c>
      <c r="H9" s="5">
        <v>1E-3</v>
      </c>
      <c r="I9" s="5">
        <v>2E-3</v>
      </c>
      <c r="J9" s="5">
        <v>3.0000000000000001E-3</v>
      </c>
      <c r="K9" s="5">
        <v>25</v>
      </c>
      <c r="L9" s="5">
        <v>25</v>
      </c>
      <c r="M9" s="5">
        <v>20</v>
      </c>
      <c r="N9" s="5">
        <v>25</v>
      </c>
      <c r="O9" s="33">
        <f>SUMPRODUCT(spk1mu14[[#This Row],[1]:[8]]*(spk1mu14[[#This Row],[1]:[8]]&gt;=spk1mu14[[#This Row],[L]]))</f>
        <v>95.004999999999995</v>
      </c>
      <c r="P9" s="96">
        <f>IF(spk1mu14[[#This Row],[Name]]="",0,LARGE(spk1mu14[[#This Row],[1]:[8]],$D$2))</f>
        <v>2E-3</v>
      </c>
      <c r="Q9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OK</v>
      </c>
      <c r="R9" s="6"/>
      <c r="S9" s="2"/>
      <c r="U9" s="6"/>
      <c r="AS9" s="1"/>
      <c r="AT9" s="1"/>
    </row>
    <row r="10" spans="1:46" ht="11.25" customHeight="1">
      <c r="A10" s="32"/>
      <c r="B10" s="20">
        <f>IF(spk1mu14[[#This Row],[Name]]="","",_xlfn.RANK.EQ(spk1mu14[[#This Row],[Result]],_xlnm.Criteria,0))</f>
        <v>3</v>
      </c>
      <c r="C10" s="1" t="s">
        <v>80</v>
      </c>
      <c r="D10" s="1" t="s">
        <v>81</v>
      </c>
      <c r="E10" s="2" t="s">
        <v>82</v>
      </c>
      <c r="F10" s="20" t="s">
        <v>39</v>
      </c>
      <c r="G10" s="5">
        <v>20</v>
      </c>
      <c r="H10" s="5">
        <v>20</v>
      </c>
      <c r="I10" s="5">
        <v>2E-3</v>
      </c>
      <c r="J10" s="5">
        <v>3.0000000000000001E-3</v>
      </c>
      <c r="K10" s="5">
        <v>4.0000000000000001E-3</v>
      </c>
      <c r="L10" s="5">
        <v>5.0000000000000001E-3</v>
      </c>
      <c r="M10" s="5">
        <v>15</v>
      </c>
      <c r="N10" s="5">
        <v>15</v>
      </c>
      <c r="O10" s="33">
        <f>SUMPRODUCT(spk1mu14[[#This Row],[1]:[8]]*(spk1mu14[[#This Row],[1]:[8]]&gt;=spk1mu14[[#This Row],[L]]))</f>
        <v>70.009</v>
      </c>
      <c r="P10" s="96">
        <f>IF(spk1mu14[[#This Row],[Name]]="",0,LARGE(spk1mu14[[#This Row],[1]:[8]],$D$2))</f>
        <v>4.0000000000000001E-3</v>
      </c>
      <c r="Q10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OK</v>
      </c>
      <c r="R10" s="6"/>
      <c r="S10" s="2"/>
      <c r="U10" s="1"/>
      <c r="AS10" s="1"/>
      <c r="AT10" s="1"/>
    </row>
    <row r="11" spans="1:46" ht="11.25" customHeight="1">
      <c r="A11" s="32"/>
      <c r="B11" s="20">
        <f>IF(spk1mu14[[#This Row],[Name]]="","",_xlfn.RANK.EQ(spk1mu14[[#This Row],[Result]],_xlnm.Criteria,0))</f>
        <v>4</v>
      </c>
      <c r="C11" s="1" t="s">
        <v>83</v>
      </c>
      <c r="D11" s="1" t="s">
        <v>84</v>
      </c>
      <c r="E11" s="2" t="s">
        <v>43</v>
      </c>
      <c r="F11" s="20" t="s">
        <v>39</v>
      </c>
      <c r="G11" s="5">
        <v>0</v>
      </c>
      <c r="H11" s="5">
        <v>1E-3</v>
      </c>
      <c r="I11" s="5">
        <v>2E-3</v>
      </c>
      <c r="J11" s="5">
        <v>3.0000000000000001E-3</v>
      </c>
      <c r="K11" s="5">
        <v>4.0000000000000001E-3</v>
      </c>
      <c r="L11" s="5">
        <v>5.0000000000000001E-3</v>
      </c>
      <c r="M11" s="5">
        <v>12</v>
      </c>
      <c r="N11" s="5">
        <v>12</v>
      </c>
      <c r="O11" s="33">
        <f>SUMPRODUCT(spk1mu14[[#This Row],[1]:[8]]*(spk1mu14[[#This Row],[1]:[8]]&gt;=spk1mu14[[#This Row],[L]]))</f>
        <v>24.013999999999999</v>
      </c>
      <c r="P11" s="96">
        <f>IF(spk1mu14[[#This Row],[Name]]="",0,LARGE(spk1mu14[[#This Row],[1]:[8]],$D$2))</f>
        <v>2E-3</v>
      </c>
      <c r="Q11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OK</v>
      </c>
      <c r="R11" s="6"/>
      <c r="S11" s="2"/>
      <c r="U11" s="1"/>
      <c r="AS11" s="1"/>
      <c r="AT11" s="1"/>
    </row>
    <row r="12" spans="1:46" ht="11.25" customHeight="1">
      <c r="A12" s="32" t="s">
        <v>73</v>
      </c>
      <c r="B12" s="20">
        <f>IF(spk1mu14[[#This Row],[Name]]="","",_xlfn.RANK.EQ(spk1mu14[[#This Row],[Result]],_xlnm.Criteria,0))</f>
        <v>5</v>
      </c>
      <c r="C12" s="1" t="s">
        <v>85</v>
      </c>
      <c r="D12" s="1" t="s">
        <v>86</v>
      </c>
      <c r="E12" s="2" t="s">
        <v>79</v>
      </c>
      <c r="F12" s="20" t="s">
        <v>39</v>
      </c>
      <c r="G12" s="5">
        <v>0</v>
      </c>
      <c r="H12" s="5">
        <v>1E-3</v>
      </c>
      <c r="I12" s="5">
        <v>2E-3</v>
      </c>
      <c r="J12" s="5">
        <v>3.0000000000000001E-3</v>
      </c>
      <c r="K12" s="5">
        <v>4.0000000000000001E-3</v>
      </c>
      <c r="L12" s="5">
        <v>5.0000000000000001E-3</v>
      </c>
      <c r="M12" s="5">
        <v>11</v>
      </c>
      <c r="N12" s="5">
        <v>11</v>
      </c>
      <c r="O12" s="33">
        <f>SUMPRODUCT(spk1mu14[[#This Row],[1]:[8]]*(spk1mu14[[#This Row],[1]:[8]]&gt;=spk1mu14[[#This Row],[L]]))</f>
        <v>22.013999999999999</v>
      </c>
      <c r="P12" s="96">
        <f>IF(spk1mu14[[#This Row],[Name]]="",0,LARGE(spk1mu14[[#This Row],[1]:[8]],$D$2))</f>
        <v>2E-3</v>
      </c>
      <c r="Q12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OK</v>
      </c>
      <c r="R12" s="6"/>
      <c r="S12" s="18"/>
      <c r="U12" s="1"/>
      <c r="AS12" s="1"/>
      <c r="AT12" s="1"/>
    </row>
    <row r="13" spans="1:46" ht="11.25" customHeight="1">
      <c r="A13" s="32"/>
      <c r="B13" s="20">
        <f>IF(spk1mu14[[#This Row],[Name]]="","",_xlfn.RANK.EQ(spk1mu14[[#This Row],[Result]],_xlnm.Criteria,0))</f>
        <v>6</v>
      </c>
      <c r="C13" s="1" t="s">
        <v>87</v>
      </c>
      <c r="D13" s="1" t="s">
        <v>45</v>
      </c>
      <c r="E13" s="2" t="s">
        <v>43</v>
      </c>
      <c r="F13" s="20" t="s">
        <v>39</v>
      </c>
      <c r="G13" s="5">
        <v>0</v>
      </c>
      <c r="H13" s="5">
        <v>1E-3</v>
      </c>
      <c r="I13" s="5">
        <v>2E-3</v>
      </c>
      <c r="J13" s="5">
        <v>3.0000000000000001E-3</v>
      </c>
      <c r="K13" s="5">
        <v>4.0000000000000001E-3</v>
      </c>
      <c r="L13" s="5">
        <v>5.0000000000000001E-3</v>
      </c>
      <c r="M13" s="5">
        <v>10</v>
      </c>
      <c r="N13" s="5">
        <v>11</v>
      </c>
      <c r="O13" s="33">
        <f>SUMPRODUCT(spk1mu14[[#This Row],[1]:[8]]*(spk1mu14[[#This Row],[1]:[8]]&gt;=spk1mu14[[#This Row],[L]]))</f>
        <v>21.013999999999999</v>
      </c>
      <c r="P13" s="96">
        <f>IF(spk1mu14[[#This Row],[Name]]="",0,LARGE(spk1mu14[[#This Row],[1]:[8]],$D$2))</f>
        <v>2E-3</v>
      </c>
      <c r="Q13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OK</v>
      </c>
      <c r="R13" s="6"/>
      <c r="S13" s="19"/>
      <c r="U13" s="1"/>
      <c r="AS13" s="1"/>
      <c r="AT13" s="1"/>
    </row>
    <row r="14" spans="1:46" ht="11.25" customHeight="1">
      <c r="A14" s="32"/>
      <c r="B14" s="20">
        <f>IF(spk1mu14[[#This Row],[Name]]="","",_xlfn.RANK.EQ(spk1mu14[[#This Row],[Result]],_xlnm.Criteria,0))</f>
        <v>7</v>
      </c>
      <c r="C14" s="1" t="s">
        <v>88</v>
      </c>
      <c r="D14" s="1" t="s">
        <v>84</v>
      </c>
      <c r="E14" s="2" t="s">
        <v>43</v>
      </c>
      <c r="F14" s="20" t="s">
        <v>39</v>
      </c>
      <c r="G14" s="5">
        <v>0</v>
      </c>
      <c r="H14" s="5">
        <v>1E-3</v>
      </c>
      <c r="I14" s="5">
        <v>2E-3</v>
      </c>
      <c r="J14" s="5">
        <v>3.0000000000000001E-3</v>
      </c>
      <c r="K14" s="5">
        <v>4.0000000000000001E-3</v>
      </c>
      <c r="L14" s="5">
        <v>5.0000000000000001E-3</v>
      </c>
      <c r="M14" s="5">
        <v>9</v>
      </c>
      <c r="N14" s="5">
        <v>9</v>
      </c>
      <c r="O14" s="33">
        <f>SUMPRODUCT(spk1mu14[[#This Row],[1]:[8]]*(spk1mu14[[#This Row],[1]:[8]]&gt;=spk1mu14[[#This Row],[L]]))</f>
        <v>18.013999999999999</v>
      </c>
      <c r="P14" s="96">
        <f>IF(spk1mu14[[#This Row],[Name]]="",0,LARGE(spk1mu14[[#This Row],[1]:[8]],$D$2))</f>
        <v>2E-3</v>
      </c>
      <c r="Q14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OK</v>
      </c>
      <c r="R14" s="6"/>
      <c r="U14" s="1"/>
      <c r="AS14" s="1"/>
      <c r="AT14" s="1"/>
    </row>
    <row r="15" spans="1:46" ht="11.25" customHeight="1">
      <c r="A15" s="32"/>
      <c r="B15" s="20">
        <f>IF(spk1mu14[[#This Row],[Name]]="","",_xlfn.RANK.EQ(spk1mu14[[#This Row],[Result]],_xlnm.Criteria,0))</f>
        <v>8</v>
      </c>
      <c r="C15" s="1" t="s">
        <v>89</v>
      </c>
      <c r="D15" s="1" t="s">
        <v>90</v>
      </c>
      <c r="E15" s="2" t="s">
        <v>91</v>
      </c>
      <c r="F15" s="20" t="s">
        <v>39</v>
      </c>
      <c r="G15" s="5">
        <v>0</v>
      </c>
      <c r="H15" s="5">
        <v>1E-3</v>
      </c>
      <c r="I15" s="5">
        <v>2E-3</v>
      </c>
      <c r="J15" s="5">
        <v>3.0000000000000001E-3</v>
      </c>
      <c r="K15" s="5">
        <v>4.0000000000000001E-3</v>
      </c>
      <c r="L15" s="5">
        <v>5.0000000000000001E-3</v>
      </c>
      <c r="M15" s="5">
        <v>8</v>
      </c>
      <c r="N15" s="5">
        <v>8</v>
      </c>
      <c r="O15" s="33">
        <f>SUMPRODUCT(spk1mu14[[#This Row],[1]:[8]]*(spk1mu14[[#This Row],[1]:[8]]&gt;=spk1mu14[[#This Row],[L]]))</f>
        <v>16.013999999999999</v>
      </c>
      <c r="P15" s="96">
        <f>IF(spk1mu14[[#This Row],[Name]]="",0,LARGE(spk1mu14[[#This Row],[1]:[8]],$D$2))</f>
        <v>2E-3</v>
      </c>
      <c r="Q15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OK</v>
      </c>
      <c r="R15" s="6"/>
      <c r="U15" s="1"/>
      <c r="AS15" s="1"/>
      <c r="AT15" s="1"/>
    </row>
    <row r="16" spans="1:46" ht="11.25" hidden="1" customHeight="1">
      <c r="A16" s="32"/>
      <c r="B16" s="20">
        <f>IF(spk1mu14[[#This Row],[Name]]="","",_xlfn.RANK.EQ(spk1mu14[[#This Row],[Result]],_xlnm.Criteria,0))</f>
        <v>9</v>
      </c>
      <c r="C16" s="1" t="s">
        <v>92</v>
      </c>
      <c r="D16" s="1" t="s">
        <v>93</v>
      </c>
      <c r="E16" s="2" t="s">
        <v>94</v>
      </c>
      <c r="F16" s="20" t="s">
        <v>39</v>
      </c>
      <c r="G16" s="5">
        <v>0</v>
      </c>
      <c r="H16" s="5">
        <v>1E-3</v>
      </c>
      <c r="I16" s="5">
        <v>2E-3</v>
      </c>
      <c r="J16" s="5">
        <v>3.0000000000000001E-3</v>
      </c>
      <c r="K16" s="5">
        <v>4.0000000000000001E-3</v>
      </c>
      <c r="L16" s="5">
        <v>5.0000000000000001E-3</v>
      </c>
      <c r="M16" s="5">
        <v>6.0000000000000001E-3</v>
      </c>
      <c r="N16" s="5">
        <v>7.0000000000000001E-3</v>
      </c>
      <c r="O16" s="33">
        <f>SUMPRODUCT(spk1mu14[[#This Row],[1]:[8]]*(spk1mu14[[#This Row],[1]:[8]]&gt;=spk1mu14[[#This Row],[L]]))</f>
        <v>2.7000000000000003E-2</v>
      </c>
      <c r="P16" s="96">
        <f>IF(spk1mu14[[#This Row],[Name]]="",0,LARGE(spk1mu14[[#This Row],[1]:[8]],$D$2))</f>
        <v>2E-3</v>
      </c>
      <c r="Q16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OK</v>
      </c>
      <c r="R16" s="6"/>
      <c r="U16" s="1"/>
      <c r="AS16" s="1"/>
      <c r="AT16" s="1"/>
    </row>
    <row r="17" spans="1:46" ht="11.25" hidden="1" customHeight="1">
      <c r="A17" s="32"/>
      <c r="B17" s="20">
        <f>IF(spk1mu14[[#This Row],[Name]]="","",_xlfn.RANK.EQ(spk1mu14[[#This Row],[Result]],_xlnm.Criteria,0))</f>
        <v>9</v>
      </c>
      <c r="C17" s="1" t="s">
        <v>92</v>
      </c>
      <c r="D17" s="1" t="s">
        <v>93</v>
      </c>
      <c r="E17" s="2" t="s">
        <v>94</v>
      </c>
      <c r="F17" s="20" t="s">
        <v>39</v>
      </c>
      <c r="G17" s="5">
        <v>0</v>
      </c>
      <c r="H17" s="5">
        <v>1E-3</v>
      </c>
      <c r="I17" s="5">
        <v>2E-3</v>
      </c>
      <c r="J17" s="5">
        <v>3.0000000000000001E-3</v>
      </c>
      <c r="K17" s="5">
        <v>4.0000000000000001E-3</v>
      </c>
      <c r="L17" s="5">
        <v>5.0000000000000001E-3</v>
      </c>
      <c r="M17" s="5">
        <v>6.0000000000000001E-3</v>
      </c>
      <c r="N17" s="5">
        <v>7.0000000000000001E-3</v>
      </c>
      <c r="O17" s="33">
        <f>SUMPRODUCT(spk1mu14[[#This Row],[1]:[8]]*(spk1mu14[[#This Row],[1]:[8]]&gt;=spk1mu14[[#This Row],[L]]))</f>
        <v>2.7000000000000003E-2</v>
      </c>
      <c r="P17" s="96">
        <f>IF(spk1mu14[[#This Row],[Name]]="",0,LARGE(spk1mu14[[#This Row],[1]:[8]],$D$2))</f>
        <v>2E-3</v>
      </c>
      <c r="Q17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OK</v>
      </c>
      <c r="R17" s="6"/>
      <c r="U17" s="1"/>
      <c r="AS17" s="1"/>
      <c r="AT17" s="1"/>
    </row>
    <row r="18" spans="1:46" ht="11.25" hidden="1" customHeight="1">
      <c r="A18" s="32"/>
      <c r="B18" s="20">
        <f>IF(spk1mu14[[#This Row],[Name]]="","",_xlfn.RANK.EQ(spk1mu14[[#This Row],[Result]],_xlnm.Criteria,0))</f>
        <v>9</v>
      </c>
      <c r="C18" s="1" t="s">
        <v>92</v>
      </c>
      <c r="D18" s="1" t="s">
        <v>93</v>
      </c>
      <c r="E18" s="2" t="s">
        <v>94</v>
      </c>
      <c r="F18" s="20" t="s">
        <v>39</v>
      </c>
      <c r="G18" s="5">
        <v>0</v>
      </c>
      <c r="H18" s="5">
        <v>1E-3</v>
      </c>
      <c r="I18" s="5">
        <v>2E-3</v>
      </c>
      <c r="J18" s="5">
        <v>3.0000000000000001E-3</v>
      </c>
      <c r="K18" s="5">
        <v>4.0000000000000001E-3</v>
      </c>
      <c r="L18" s="5">
        <v>5.0000000000000001E-3</v>
      </c>
      <c r="M18" s="5">
        <v>6.0000000000000001E-3</v>
      </c>
      <c r="N18" s="5">
        <v>7.0000000000000001E-3</v>
      </c>
      <c r="O18" s="33">
        <f>SUMPRODUCT(spk1mu14[[#This Row],[1]:[8]]*(spk1mu14[[#This Row],[1]:[8]]&gt;=spk1mu14[[#This Row],[L]]))</f>
        <v>2.7000000000000003E-2</v>
      </c>
      <c r="P18" s="96">
        <f>IF(spk1mu14[[#This Row],[Name]]="",0,LARGE(spk1mu14[[#This Row],[1]:[8]],$D$2))</f>
        <v>2E-3</v>
      </c>
      <c r="Q18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OK</v>
      </c>
      <c r="R18" s="6"/>
      <c r="U18" s="1"/>
      <c r="AS18" s="1"/>
      <c r="AT18" s="1"/>
    </row>
    <row r="19" spans="1:46" ht="11.25" hidden="1" customHeight="1" thickBot="1">
      <c r="A19" s="34"/>
      <c r="B19" s="35">
        <f>IF(spk1mu14[[#This Row],[Name]]="","",_xlfn.RANK.EQ(spk1mu14[[#This Row],[Result]],_xlnm.Criteria,0))</f>
        <v>9</v>
      </c>
      <c r="C19" s="51" t="s">
        <v>92</v>
      </c>
      <c r="D19" s="51" t="s">
        <v>93</v>
      </c>
      <c r="E19" s="52" t="s">
        <v>94</v>
      </c>
      <c r="F19" s="35" t="s">
        <v>39</v>
      </c>
      <c r="G19" s="36">
        <v>0</v>
      </c>
      <c r="H19" s="36">
        <v>1E-3</v>
      </c>
      <c r="I19" s="36">
        <v>2E-3</v>
      </c>
      <c r="J19" s="36">
        <v>3.0000000000000001E-3</v>
      </c>
      <c r="K19" s="36">
        <v>4.0000000000000001E-3</v>
      </c>
      <c r="L19" s="36">
        <v>5.0000000000000001E-3</v>
      </c>
      <c r="M19" s="36">
        <v>6.0000000000000001E-3</v>
      </c>
      <c r="N19" s="36">
        <v>7.0000000000000001E-3</v>
      </c>
      <c r="O19" s="37">
        <f>SUMPRODUCT(spk1mu14[[#This Row],[1]:[8]]*(spk1mu14[[#This Row],[1]:[8]]&gt;=spk1mu14[[#This Row],[L]]))</f>
        <v>2.7000000000000003E-2</v>
      </c>
      <c r="P19" s="96">
        <f>IF(spk1mu14[[#This Row],[Name]]="",0,LARGE(spk1mu14[[#This Row],[1]:[8]],$D$2))</f>
        <v>2E-3</v>
      </c>
      <c r="Q19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OK</v>
      </c>
      <c r="R19" s="6"/>
      <c r="U19" s="1"/>
      <c r="AS19" s="1"/>
      <c r="AT19" s="1"/>
    </row>
    <row r="20" spans="1:46" ht="11.25" hidden="1" customHeight="1">
      <c r="B20" s="20" t="str">
        <f>IF(spk1mu14[[#This Row],[Name]]="","",_xlfn.RANK.EQ(spk1mu14[[#This Row],[Result]],_xlnm.Criteria,0))</f>
        <v/>
      </c>
      <c r="E20" s="2"/>
      <c r="F20" s="20"/>
      <c r="G20" s="20"/>
      <c r="H20" s="5">
        <v>0</v>
      </c>
      <c r="I20" s="5"/>
      <c r="J20" s="5">
        <v>0</v>
      </c>
      <c r="K20" s="5">
        <v>0</v>
      </c>
      <c r="L20" s="5">
        <v>0</v>
      </c>
      <c r="M20" s="5"/>
      <c r="N20" s="5">
        <v>0</v>
      </c>
      <c r="O20" s="33">
        <f>SUMPRODUCT(spk1mu14[[#This Row],[1]:[8]]*(spk1mu14[[#This Row],[1]:[8]]&gt;=spk1mu14[[#This Row],[L]]))</f>
        <v>0</v>
      </c>
      <c r="P20" s="16">
        <f>IF(spk1mu14[[#This Row],[Name]]="",0,LARGE(spk1mu14[[#This Row],[1]:[8]],$D$2))</f>
        <v>0</v>
      </c>
      <c r="Q20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20" s="6"/>
      <c r="T20" s="1" t="e">
        <f>COUNTIFS(#REF!,"="&amp;spk1mu14[[#This Row],[L]])</f>
        <v>#REF!</v>
      </c>
      <c r="U20" s="1"/>
      <c r="AS20" s="1"/>
      <c r="AT20" s="1"/>
    </row>
    <row r="21" spans="1:46" ht="11.25" hidden="1" customHeight="1">
      <c r="B21" s="20" t="str">
        <f>IF(spk1mu14[[#This Row],[Name]]="","",_xlfn.RANK.EQ(spk1mu14[[#This Row],[Result]],_xlnm.Criteria,0))</f>
        <v/>
      </c>
      <c r="E21" s="2"/>
      <c r="F21" s="20"/>
      <c r="G21" s="20"/>
      <c r="H21" s="5">
        <v>0</v>
      </c>
      <c r="I21" s="5"/>
      <c r="J21" s="5">
        <v>0</v>
      </c>
      <c r="K21" s="5">
        <v>0</v>
      </c>
      <c r="L21" s="5">
        <v>0</v>
      </c>
      <c r="M21" s="5"/>
      <c r="N21" s="5">
        <v>0</v>
      </c>
      <c r="O21" s="33">
        <f>SUMPRODUCT(spk1mu14[[#This Row],[1]:[8]]*(spk1mu14[[#This Row],[1]:[8]]&gt;=spk1mu14[[#This Row],[L]]))</f>
        <v>0</v>
      </c>
      <c r="P21" s="16">
        <f>IF(spk1mu14[[#This Row],[Name]]="",0,LARGE(spk1mu14[[#This Row],[1]:[8]],$D$2))</f>
        <v>0</v>
      </c>
      <c r="Q21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21" s="6"/>
      <c r="T21" s="1" t="e">
        <f>COUNTIFS(#REF!,"="&amp;spk1mu14[[#This Row],[L]])</f>
        <v>#REF!</v>
      </c>
      <c r="U21" s="1"/>
      <c r="AS21" s="1"/>
      <c r="AT21" s="1"/>
    </row>
    <row r="22" spans="1:46" ht="11.25" hidden="1" customHeight="1">
      <c r="B22" s="20" t="str">
        <f>IF(spk1mu14[[#This Row],[Name]]="","",_xlfn.RANK.EQ(spk1mu14[[#This Row],[Result]],_xlnm.Criteria,0))</f>
        <v/>
      </c>
      <c r="E22" s="2"/>
      <c r="F22" s="20"/>
      <c r="G22" s="20"/>
      <c r="H22" s="5">
        <v>0</v>
      </c>
      <c r="I22" s="5"/>
      <c r="J22" s="5">
        <v>0</v>
      </c>
      <c r="K22" s="5">
        <v>0</v>
      </c>
      <c r="L22" s="5">
        <v>0</v>
      </c>
      <c r="M22" s="5"/>
      <c r="N22" s="5">
        <v>0</v>
      </c>
      <c r="O22" s="33">
        <f>SUMPRODUCT(spk1mu14[[#This Row],[1]:[8]]*(spk1mu14[[#This Row],[1]:[8]]&gt;=spk1mu14[[#This Row],[L]]))</f>
        <v>0</v>
      </c>
      <c r="P22" s="16">
        <f>IF(spk1mu14[[#This Row],[Name]]="",0,LARGE(spk1mu14[[#This Row],[1]:[8]],$D$2))</f>
        <v>0</v>
      </c>
      <c r="Q22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22" s="6"/>
      <c r="T22" s="1" t="e">
        <f>COUNTIFS(#REF!,"="&amp;spk1mu14[[#This Row],[L]])</f>
        <v>#REF!</v>
      </c>
      <c r="U22" s="1"/>
      <c r="AS22" s="1"/>
      <c r="AT22" s="1"/>
    </row>
    <row r="23" spans="1:46" ht="11.25" hidden="1" customHeight="1">
      <c r="B23" s="20" t="str">
        <f>IF(spk1mu14[[#This Row],[Name]]="","",_xlfn.RANK.EQ(spk1mu14[[#This Row],[Result]],_xlnm.Criteria,0))</f>
        <v/>
      </c>
      <c r="E23" s="2"/>
      <c r="F23" s="20"/>
      <c r="G23" s="20"/>
      <c r="H23" s="5">
        <v>0</v>
      </c>
      <c r="I23" s="5"/>
      <c r="J23" s="5">
        <v>0</v>
      </c>
      <c r="K23" s="5">
        <v>0</v>
      </c>
      <c r="L23" s="5">
        <v>0</v>
      </c>
      <c r="M23" s="5"/>
      <c r="N23" s="5">
        <v>0</v>
      </c>
      <c r="O23" s="33">
        <f>SUMPRODUCT(spk1mu14[[#This Row],[1]:[8]]*(spk1mu14[[#This Row],[1]:[8]]&gt;=spk1mu14[[#This Row],[L]]))</f>
        <v>0</v>
      </c>
      <c r="P23" s="16">
        <f>IF(spk1mu14[[#This Row],[Name]]="",0,LARGE(spk1mu14[[#This Row],[1]:[8]],$D$2))</f>
        <v>0</v>
      </c>
      <c r="Q23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23" s="6"/>
      <c r="T23" s="1" t="e">
        <f>COUNTIFS(#REF!,"="&amp;spk1mu14[[#This Row],[L]])</f>
        <v>#REF!</v>
      </c>
      <c r="U23" s="1"/>
      <c r="AS23" s="1"/>
      <c r="AT23" s="1"/>
    </row>
    <row r="24" spans="1:46" ht="11.25" hidden="1" customHeight="1">
      <c r="B24" s="20" t="str">
        <f>IF(spk1mu14[[#This Row],[Name]]="","",_xlfn.RANK.EQ(spk1mu14[[#This Row],[Result]],_xlnm.Criteria,0))</f>
        <v/>
      </c>
      <c r="E24" s="2"/>
      <c r="F24" s="20"/>
      <c r="G24" s="20"/>
      <c r="H24" s="5">
        <v>0</v>
      </c>
      <c r="I24" s="5"/>
      <c r="J24" s="5">
        <v>0</v>
      </c>
      <c r="K24" s="5">
        <v>0</v>
      </c>
      <c r="L24" s="5">
        <v>0</v>
      </c>
      <c r="M24" s="5"/>
      <c r="N24" s="5">
        <v>0</v>
      </c>
      <c r="O24" s="33">
        <f>SUMPRODUCT(spk1mu14[[#This Row],[1]:[8]]*(spk1mu14[[#This Row],[1]:[8]]&gt;=spk1mu14[[#This Row],[L]]))</f>
        <v>0</v>
      </c>
      <c r="P24" s="16">
        <f>IF(spk1mu14[[#This Row],[Name]]="",0,LARGE(spk1mu14[[#This Row],[1]:[8]],$D$2))</f>
        <v>0</v>
      </c>
      <c r="Q24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24" s="6"/>
      <c r="T24" s="1" t="e">
        <f>COUNTIFS(#REF!,"="&amp;spk1mu14[[#This Row],[L]])</f>
        <v>#REF!</v>
      </c>
      <c r="U24" s="1"/>
      <c r="AS24" s="1"/>
      <c r="AT24" s="1"/>
    </row>
    <row r="25" spans="1:46" ht="11.25" hidden="1" customHeight="1">
      <c r="B25" s="20" t="str">
        <f>IF(spk1mu14[[#This Row],[Name]]="","",_xlfn.RANK.EQ(spk1mu14[[#This Row],[Result]],_xlnm.Criteria,0))</f>
        <v/>
      </c>
      <c r="E25" s="2"/>
      <c r="F25" s="20"/>
      <c r="G25" s="20"/>
      <c r="H25" s="5">
        <v>0</v>
      </c>
      <c r="I25" s="5"/>
      <c r="J25" s="5">
        <v>0</v>
      </c>
      <c r="K25" s="5">
        <v>0</v>
      </c>
      <c r="L25" s="5">
        <v>0</v>
      </c>
      <c r="M25" s="5"/>
      <c r="N25" s="5">
        <v>0</v>
      </c>
      <c r="O25" s="33">
        <f>SUMPRODUCT(spk1mu14[[#This Row],[1]:[8]]*(spk1mu14[[#This Row],[1]:[8]]&gt;=spk1mu14[[#This Row],[L]]))</f>
        <v>0</v>
      </c>
      <c r="P25" s="16">
        <f>IF(spk1mu14[[#This Row],[Name]]="",0,LARGE(spk1mu14[[#This Row],[1]:[8]],$D$2))</f>
        <v>0</v>
      </c>
      <c r="Q25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25" s="6"/>
      <c r="T25" s="1" t="e">
        <f>COUNTIFS(#REF!,"="&amp;spk1mu14[[#This Row],[L]])</f>
        <v>#REF!</v>
      </c>
      <c r="U25" s="1"/>
      <c r="AS25" s="1"/>
      <c r="AT25" s="1"/>
    </row>
    <row r="26" spans="1:46" ht="11.25" hidden="1" customHeight="1">
      <c r="B26" s="20" t="str">
        <f>IF(spk1mu14[[#This Row],[Name]]="","",_xlfn.RANK.EQ(spk1mu14[[#This Row],[Result]],_xlnm.Criteria,0))</f>
        <v/>
      </c>
      <c r="E26" s="2"/>
      <c r="F26" s="20"/>
      <c r="G26" s="20"/>
      <c r="H26" s="5">
        <v>0</v>
      </c>
      <c r="I26" s="5"/>
      <c r="J26" s="5">
        <v>0</v>
      </c>
      <c r="K26" s="5">
        <v>0</v>
      </c>
      <c r="L26" s="5">
        <v>0</v>
      </c>
      <c r="M26" s="5"/>
      <c r="N26" s="5">
        <v>0</v>
      </c>
      <c r="O26" s="33">
        <f>SUMPRODUCT(spk1mu14[[#This Row],[1]:[8]]*(spk1mu14[[#This Row],[1]:[8]]&gt;=spk1mu14[[#This Row],[L]]))</f>
        <v>0</v>
      </c>
      <c r="P26" s="16">
        <f>IF(spk1mu14[[#This Row],[Name]]="",0,LARGE(spk1mu14[[#This Row],[1]:[8]],$D$2))</f>
        <v>0</v>
      </c>
      <c r="Q26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26" s="6"/>
      <c r="T26" s="1" t="e">
        <f>COUNTIFS(#REF!,"="&amp;spk1mu14[[#This Row],[L]])</f>
        <v>#REF!</v>
      </c>
      <c r="U26" s="1"/>
      <c r="AS26" s="1"/>
      <c r="AT26" s="1"/>
    </row>
    <row r="27" spans="1:46" ht="11.25" hidden="1" customHeight="1">
      <c r="B27" s="20" t="str">
        <f>IF(spk1mu14[[#This Row],[Name]]="","",_xlfn.RANK.EQ(spk1mu14[[#This Row],[Result]],_xlnm.Criteria,0))</f>
        <v/>
      </c>
      <c r="E27" s="2"/>
      <c r="F27" s="20"/>
      <c r="G27" s="20"/>
      <c r="H27" s="5">
        <v>0</v>
      </c>
      <c r="I27" s="5"/>
      <c r="J27" s="5">
        <v>0</v>
      </c>
      <c r="K27" s="5">
        <v>0</v>
      </c>
      <c r="L27" s="5">
        <v>0</v>
      </c>
      <c r="M27" s="5"/>
      <c r="N27" s="5">
        <v>0</v>
      </c>
      <c r="O27" s="33">
        <f>SUMPRODUCT(spk1mu14[[#This Row],[1]:[8]]*(spk1mu14[[#This Row],[1]:[8]]&gt;=spk1mu14[[#This Row],[L]]))</f>
        <v>0</v>
      </c>
      <c r="P27" s="16">
        <f>IF(spk1mu14[[#This Row],[Name]]="",0,LARGE(spk1mu14[[#This Row],[1]:[8]],$D$2))</f>
        <v>0</v>
      </c>
      <c r="Q27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27" s="6"/>
      <c r="T27" s="1" t="e">
        <f>COUNTIFS(#REF!,"="&amp;spk1mu14[[#This Row],[L]])</f>
        <v>#REF!</v>
      </c>
      <c r="U27" s="1"/>
      <c r="AS27" s="1"/>
      <c r="AT27" s="1"/>
    </row>
    <row r="28" spans="1:46" ht="11.25" hidden="1" customHeight="1">
      <c r="B28" s="20" t="str">
        <f>IF(spk1mu14[[#This Row],[Name]]="","",_xlfn.RANK.EQ(spk1mu14[[#This Row],[Result]],_xlnm.Criteria,0))</f>
        <v/>
      </c>
      <c r="E28" s="2"/>
      <c r="F28" s="20"/>
      <c r="G28" s="20"/>
      <c r="H28" s="5">
        <v>0</v>
      </c>
      <c r="I28" s="5"/>
      <c r="J28" s="5">
        <v>0</v>
      </c>
      <c r="K28" s="5">
        <v>0</v>
      </c>
      <c r="L28" s="5">
        <v>0</v>
      </c>
      <c r="M28" s="5"/>
      <c r="N28" s="5">
        <v>0</v>
      </c>
      <c r="O28" s="33">
        <f>SUMPRODUCT(spk1mu14[[#This Row],[1]:[8]]*(spk1mu14[[#This Row],[1]:[8]]&gt;=spk1mu14[[#This Row],[L]]))</f>
        <v>0</v>
      </c>
      <c r="P28" s="16">
        <f>IF(spk1mu14[[#This Row],[Name]]="",0,LARGE(spk1mu14[[#This Row],[1]:[8]],$D$2))</f>
        <v>0</v>
      </c>
      <c r="Q28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28" s="6"/>
      <c r="T28" s="1" t="e">
        <f>COUNTIFS(#REF!,"="&amp;spk1mu14[[#This Row],[L]])</f>
        <v>#REF!</v>
      </c>
      <c r="U28" s="1"/>
      <c r="AS28" s="1"/>
      <c r="AT28" s="1"/>
    </row>
    <row r="29" spans="1:46" ht="11.25" hidden="1" customHeight="1">
      <c r="B29" s="20" t="str">
        <f>IF(spk1mu14[[#This Row],[Name]]="","",_xlfn.RANK.EQ(spk1mu14[[#This Row],[Result]],_xlnm.Criteria,0))</f>
        <v/>
      </c>
      <c r="E29" s="2"/>
      <c r="F29" s="20"/>
      <c r="G29" s="20"/>
      <c r="H29" s="5">
        <v>0</v>
      </c>
      <c r="I29" s="5"/>
      <c r="J29" s="5">
        <v>0</v>
      </c>
      <c r="K29" s="5">
        <v>0</v>
      </c>
      <c r="L29" s="5">
        <v>0</v>
      </c>
      <c r="M29" s="5"/>
      <c r="N29" s="5">
        <v>0</v>
      </c>
      <c r="O29" s="33">
        <f>SUMPRODUCT(spk1mu14[[#This Row],[1]:[8]]*(spk1mu14[[#This Row],[1]:[8]]&gt;=spk1mu14[[#This Row],[L]]))</f>
        <v>0</v>
      </c>
      <c r="P29" s="16">
        <f>IF(spk1mu14[[#This Row],[Name]]="",0,LARGE(spk1mu14[[#This Row],[1]:[8]],$D$2))</f>
        <v>0</v>
      </c>
      <c r="Q29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29" s="6"/>
      <c r="T29" s="1" t="e">
        <f>COUNTIFS(#REF!,"="&amp;spk1mu14[[#This Row],[L]])</f>
        <v>#REF!</v>
      </c>
      <c r="U29" s="1"/>
      <c r="AS29" s="1"/>
      <c r="AT29" s="1"/>
    </row>
    <row r="30" spans="1:46" ht="11.25" hidden="1" customHeight="1">
      <c r="B30" s="20" t="str">
        <f>IF(spk1mu14[[#This Row],[Name]]="","",_xlfn.RANK.EQ(spk1mu14[[#This Row],[Result]],_xlnm.Criteria,0))</f>
        <v/>
      </c>
      <c r="E30" s="2"/>
      <c r="F30" s="20"/>
      <c r="G30" s="20"/>
      <c r="H30" s="5">
        <v>0</v>
      </c>
      <c r="I30" s="5"/>
      <c r="J30" s="5">
        <v>0</v>
      </c>
      <c r="K30" s="5">
        <v>0</v>
      </c>
      <c r="L30" s="5">
        <v>0</v>
      </c>
      <c r="M30" s="5"/>
      <c r="N30" s="5">
        <v>0</v>
      </c>
      <c r="O30" s="33">
        <f>SUMPRODUCT(spk1mu14[[#This Row],[1]:[8]]*(spk1mu14[[#This Row],[1]:[8]]&gt;=spk1mu14[[#This Row],[L]]))</f>
        <v>0</v>
      </c>
      <c r="P30" s="16">
        <f>IF(spk1mu14[[#This Row],[Name]]="",0,LARGE(spk1mu14[[#This Row],[1]:[8]],$D$2))</f>
        <v>0</v>
      </c>
      <c r="Q30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30" s="6"/>
      <c r="T30" s="1" t="e">
        <f>COUNTIFS(#REF!,"="&amp;spk1mu14[[#This Row],[L]])</f>
        <v>#REF!</v>
      </c>
      <c r="U30" s="1"/>
      <c r="AS30" s="1"/>
      <c r="AT30" s="1"/>
    </row>
    <row r="31" spans="1:46" ht="11.25" hidden="1" customHeight="1">
      <c r="B31" s="20" t="str">
        <f>IF(spk1mu14[[#This Row],[Name]]="","",_xlfn.RANK.EQ(spk1mu14[[#This Row],[Result]],_xlnm.Criteria,0))</f>
        <v/>
      </c>
      <c r="E31" s="2"/>
      <c r="F31" s="20"/>
      <c r="G31" s="20"/>
      <c r="H31" s="5">
        <v>0</v>
      </c>
      <c r="I31" s="5"/>
      <c r="J31" s="5">
        <v>0</v>
      </c>
      <c r="K31" s="5">
        <v>0</v>
      </c>
      <c r="L31" s="5">
        <v>0</v>
      </c>
      <c r="M31" s="5"/>
      <c r="N31" s="5">
        <v>0</v>
      </c>
      <c r="O31" s="33">
        <f>SUMPRODUCT(spk1mu14[[#This Row],[1]:[8]]*(spk1mu14[[#This Row],[1]:[8]]&gt;=spk1mu14[[#This Row],[L]]))</f>
        <v>0</v>
      </c>
      <c r="P31" s="16">
        <f>IF(spk1mu14[[#This Row],[Name]]="",0,LARGE(spk1mu14[[#This Row],[1]:[8]],$D$2))</f>
        <v>0</v>
      </c>
      <c r="Q31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31" s="6"/>
      <c r="T31" s="1" t="e">
        <f>COUNTIFS(#REF!,"="&amp;spk1mu14[[#This Row],[L]])</f>
        <v>#REF!</v>
      </c>
      <c r="U31" s="1"/>
      <c r="AS31" s="1"/>
      <c r="AT31" s="1"/>
    </row>
    <row r="32" spans="1:46" ht="11.25" hidden="1" customHeight="1">
      <c r="B32" s="20" t="str">
        <f>IF(spk1mu14[[#This Row],[Name]]="","",_xlfn.RANK.EQ(spk1mu14[[#This Row],[Result]],_xlnm.Criteria,0))</f>
        <v/>
      </c>
      <c r="E32" s="2"/>
      <c r="F32" s="20"/>
      <c r="G32" s="20"/>
      <c r="H32" s="5">
        <v>0</v>
      </c>
      <c r="I32" s="5"/>
      <c r="J32" s="5">
        <v>0</v>
      </c>
      <c r="K32" s="5">
        <v>0</v>
      </c>
      <c r="L32" s="5">
        <v>0</v>
      </c>
      <c r="M32" s="5"/>
      <c r="N32" s="5">
        <v>0</v>
      </c>
      <c r="O32" s="33">
        <f>SUMPRODUCT(spk1mu14[[#This Row],[1]:[8]]*(spk1mu14[[#This Row],[1]:[8]]&gt;=spk1mu14[[#This Row],[L]]))</f>
        <v>0</v>
      </c>
      <c r="P32" s="16">
        <f>IF(spk1mu14[[#This Row],[Name]]="",0,LARGE(spk1mu14[[#This Row],[1]:[8]],$D$2))</f>
        <v>0</v>
      </c>
      <c r="Q32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32" s="6"/>
      <c r="T32" s="1" t="e">
        <f>COUNTIFS(#REF!,"="&amp;spk1mu14[[#This Row],[L]])</f>
        <v>#REF!</v>
      </c>
      <c r="U32" s="1"/>
      <c r="AS32" s="1"/>
      <c r="AT32" s="1"/>
    </row>
    <row r="33" spans="1:46" ht="11.25" hidden="1" customHeight="1">
      <c r="B33" s="20" t="str">
        <f>IF(spk1mu14[[#This Row],[Name]]="","",_xlfn.RANK.EQ(spk1mu14[[#This Row],[Result]],_xlnm.Criteria,0))</f>
        <v/>
      </c>
      <c r="E33" s="2"/>
      <c r="F33" s="20"/>
      <c r="G33" s="20"/>
      <c r="H33" s="5">
        <v>0</v>
      </c>
      <c r="I33" s="5"/>
      <c r="J33" s="5">
        <v>0</v>
      </c>
      <c r="K33" s="5">
        <v>0</v>
      </c>
      <c r="L33" s="5">
        <v>0</v>
      </c>
      <c r="M33" s="5"/>
      <c r="N33" s="5">
        <v>0</v>
      </c>
      <c r="O33" s="33">
        <f>SUMPRODUCT(spk1mu14[[#This Row],[1]:[8]]*(spk1mu14[[#This Row],[1]:[8]]&gt;=spk1mu14[[#This Row],[L]]))</f>
        <v>0</v>
      </c>
      <c r="P33" s="16">
        <f>IF(spk1mu14[[#This Row],[Name]]="",0,LARGE(spk1mu14[[#This Row],[1]:[8]],$D$2))</f>
        <v>0</v>
      </c>
      <c r="Q33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33" s="6"/>
      <c r="T33" s="1" t="e">
        <f>COUNTIFS(#REF!,"="&amp;spk1mu14[[#This Row],[L]])</f>
        <v>#REF!</v>
      </c>
      <c r="U33" s="1"/>
      <c r="AS33" s="1"/>
      <c r="AT33" s="1"/>
    </row>
    <row r="34" spans="1:46" ht="11.25" hidden="1" customHeight="1">
      <c r="B34" s="20" t="str">
        <f>IF(spk1mu14[[#This Row],[Name]]="","",_xlfn.RANK.EQ(spk1mu14[[#This Row],[Result]],_xlnm.Criteria,0))</f>
        <v/>
      </c>
      <c r="E34" s="2"/>
      <c r="F34" s="20"/>
      <c r="G34" s="20"/>
      <c r="H34" s="5">
        <v>0</v>
      </c>
      <c r="I34" s="5"/>
      <c r="J34" s="5">
        <v>0</v>
      </c>
      <c r="K34" s="5">
        <v>0</v>
      </c>
      <c r="L34" s="5">
        <v>0</v>
      </c>
      <c r="M34" s="5"/>
      <c r="N34" s="5">
        <v>0</v>
      </c>
      <c r="O34" s="33">
        <f>SUMPRODUCT(spk1mu14[[#This Row],[1]:[8]]*(spk1mu14[[#This Row],[1]:[8]]&gt;=spk1mu14[[#This Row],[L]]))</f>
        <v>0</v>
      </c>
      <c r="P34" s="16">
        <f>IF(spk1mu14[[#This Row],[Name]]="",0,LARGE(spk1mu14[[#This Row],[1]:[8]],$D$2))</f>
        <v>0</v>
      </c>
      <c r="Q34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34" s="6"/>
      <c r="T34" s="1" t="e">
        <f>COUNTIFS(#REF!,"="&amp;spk1mu14[[#This Row],[L]])</f>
        <v>#REF!</v>
      </c>
      <c r="U34" s="1"/>
      <c r="AS34" s="1"/>
      <c r="AT34" s="1"/>
    </row>
    <row r="35" spans="1:46" ht="11.25" hidden="1" customHeight="1">
      <c r="B35" s="20" t="str">
        <f>IF(spk1mu14[[#This Row],[Name]]="","",_xlfn.RANK.EQ(spk1mu14[[#This Row],[Result]],_xlnm.Criteria,0))</f>
        <v/>
      </c>
      <c r="E35" s="2"/>
      <c r="F35" s="20"/>
      <c r="G35" s="20"/>
      <c r="H35" s="5">
        <v>0</v>
      </c>
      <c r="I35" s="5"/>
      <c r="J35" s="5">
        <v>0</v>
      </c>
      <c r="K35" s="5">
        <v>0</v>
      </c>
      <c r="L35" s="5">
        <v>0</v>
      </c>
      <c r="M35" s="5"/>
      <c r="N35" s="5">
        <v>0</v>
      </c>
      <c r="O35" s="33">
        <f>SUMPRODUCT(spk1mu14[[#This Row],[1]:[8]]*(spk1mu14[[#This Row],[1]:[8]]&gt;=spk1mu14[[#This Row],[L]]))</f>
        <v>0</v>
      </c>
      <c r="P35" s="16">
        <f>IF(spk1mu14[[#This Row],[Name]]="",0,LARGE(spk1mu14[[#This Row],[1]:[8]],$D$2))</f>
        <v>0</v>
      </c>
      <c r="Q35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35" s="6"/>
      <c r="T35" s="1" t="e">
        <f>COUNTIFS(#REF!,"="&amp;spk1mu14[[#This Row],[L]])</f>
        <v>#REF!</v>
      </c>
      <c r="U35" s="1"/>
      <c r="AS35" s="1"/>
      <c r="AT35" s="1"/>
    </row>
    <row r="36" spans="1:46" ht="11.25" hidden="1" customHeight="1">
      <c r="B36" s="20" t="str">
        <f>IF(spk1mu14[[#This Row],[Name]]="","",_xlfn.RANK.EQ(spk1mu14[[#This Row],[Result]],_xlnm.Criteria,0))</f>
        <v/>
      </c>
      <c r="E36" s="2"/>
      <c r="F36" s="20"/>
      <c r="G36" s="20"/>
      <c r="H36" s="5">
        <v>0</v>
      </c>
      <c r="I36" s="5"/>
      <c r="J36" s="5">
        <v>0</v>
      </c>
      <c r="K36" s="5">
        <v>0</v>
      </c>
      <c r="L36" s="5">
        <v>0</v>
      </c>
      <c r="M36" s="5"/>
      <c r="N36" s="5">
        <v>0</v>
      </c>
      <c r="O36" s="33">
        <f>SUMPRODUCT(spk1mu14[[#This Row],[1]:[8]]*(spk1mu14[[#This Row],[1]:[8]]&gt;=spk1mu14[[#This Row],[L]]))</f>
        <v>0</v>
      </c>
      <c r="P36" s="16">
        <f>IF(spk1mu14[[#This Row],[Name]]="",0,LARGE(spk1mu14[[#This Row],[1]:[8]],$D$2))</f>
        <v>0</v>
      </c>
      <c r="Q36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36" s="6"/>
      <c r="T36" s="1" t="e">
        <f>COUNTIFS(#REF!,"="&amp;spk1mu14[[#This Row],[L]])</f>
        <v>#REF!</v>
      </c>
      <c r="U36" s="1"/>
      <c r="AS36" s="1"/>
      <c r="AT36" s="1"/>
    </row>
    <row r="37" spans="1:46" ht="11.25" hidden="1" customHeight="1">
      <c r="B37" s="20" t="str">
        <f>IF(spk1mu14[[#This Row],[Name]]="","",_xlfn.RANK.EQ(spk1mu14[[#This Row],[Result]],_xlnm.Criteria,0))</f>
        <v/>
      </c>
      <c r="E37" s="2"/>
      <c r="F37" s="20"/>
      <c r="G37" s="20"/>
      <c r="H37" s="5">
        <v>0</v>
      </c>
      <c r="I37" s="5"/>
      <c r="J37" s="5">
        <v>0</v>
      </c>
      <c r="K37" s="5">
        <v>0</v>
      </c>
      <c r="L37" s="5">
        <v>0</v>
      </c>
      <c r="M37" s="5"/>
      <c r="N37" s="5">
        <v>0</v>
      </c>
      <c r="O37" s="33">
        <f>SUMPRODUCT(spk1mu14[[#This Row],[1]:[8]]*(spk1mu14[[#This Row],[1]:[8]]&gt;=spk1mu14[[#This Row],[L]]))</f>
        <v>0</v>
      </c>
      <c r="P37" s="16">
        <f>IF(spk1mu14[[#This Row],[Name]]="",0,LARGE(spk1mu14[[#This Row],[1]:[8]],$D$2))</f>
        <v>0</v>
      </c>
      <c r="Q37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37" s="6"/>
      <c r="T37" s="1" t="e">
        <f>COUNTIFS(#REF!,"="&amp;spk1mu14[[#This Row],[L]])</f>
        <v>#REF!</v>
      </c>
      <c r="U37" s="1"/>
      <c r="AS37" s="1"/>
      <c r="AT37" s="1"/>
    </row>
    <row r="38" spans="1:46" ht="11.25" hidden="1" customHeight="1">
      <c r="B38" s="20" t="str">
        <f>IF(spk1mu14[[#This Row],[Name]]="","",_xlfn.RANK.EQ(spk1mu14[[#This Row],[Result]],_xlnm.Criteria,0))</f>
        <v/>
      </c>
      <c r="E38" s="2"/>
      <c r="F38" s="20"/>
      <c r="G38" s="20"/>
      <c r="H38" s="5">
        <v>0</v>
      </c>
      <c r="I38" s="5"/>
      <c r="J38" s="5">
        <v>0</v>
      </c>
      <c r="K38" s="5">
        <v>0</v>
      </c>
      <c r="L38" s="5">
        <v>0</v>
      </c>
      <c r="M38" s="5"/>
      <c r="N38" s="5">
        <v>0</v>
      </c>
      <c r="O38" s="33">
        <f>SUMPRODUCT(spk1mu14[[#This Row],[1]:[8]]*(spk1mu14[[#This Row],[1]:[8]]&gt;=spk1mu14[[#This Row],[L]]))</f>
        <v>0</v>
      </c>
      <c r="P38" s="16">
        <f>IF(spk1mu14[[#This Row],[Name]]="",0,LARGE(spk1mu14[[#This Row],[1]:[8]],$D$2))</f>
        <v>0</v>
      </c>
      <c r="Q38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38" s="6"/>
      <c r="T38" s="1" t="e">
        <f>COUNTIFS(#REF!,"="&amp;spk1mu14[[#This Row],[L]])</f>
        <v>#REF!</v>
      </c>
      <c r="U38" s="1"/>
      <c r="AS38" s="1"/>
      <c r="AT38" s="1"/>
    </row>
    <row r="39" spans="1:46" ht="11.25" hidden="1" customHeight="1">
      <c r="B39" s="20" t="str">
        <f>IF(spk1mu14[[#This Row],[Name]]="","",_xlfn.RANK.EQ(spk1mu14[[#This Row],[Result]],_xlnm.Criteria,0))</f>
        <v/>
      </c>
      <c r="E39" s="2"/>
      <c r="F39" s="20"/>
      <c r="G39" s="20"/>
      <c r="H39" s="5">
        <v>0</v>
      </c>
      <c r="I39" s="5"/>
      <c r="J39" s="5">
        <v>0</v>
      </c>
      <c r="K39" s="5">
        <v>0</v>
      </c>
      <c r="L39" s="5">
        <v>0</v>
      </c>
      <c r="M39" s="5"/>
      <c r="N39" s="5">
        <v>0</v>
      </c>
      <c r="O39" s="33">
        <f>SUMPRODUCT(spk1mu14[[#This Row],[1]:[8]]*(spk1mu14[[#This Row],[1]:[8]]&gt;=spk1mu14[[#This Row],[L]]))</f>
        <v>0</v>
      </c>
      <c r="P39" s="16">
        <f>IF(spk1mu14[[#This Row],[Name]]="",0,LARGE(spk1mu14[[#This Row],[1]:[8]],$D$2))</f>
        <v>0</v>
      </c>
      <c r="Q39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39" s="6"/>
      <c r="T39" s="1" t="e">
        <f>COUNTIFS(#REF!,"="&amp;spk1mu14[[#This Row],[L]])</f>
        <v>#REF!</v>
      </c>
      <c r="U39" s="1"/>
      <c r="AS39" s="1"/>
      <c r="AT39" s="1"/>
    </row>
    <row r="40" spans="1:46" ht="11.25" hidden="1" customHeight="1">
      <c r="B40" s="20" t="str">
        <f>IF(spk1mu14[[#This Row],[Name]]="","",_xlfn.RANK.EQ(spk1mu14[[#This Row],[Result]],_xlnm.Criteria,0))</f>
        <v/>
      </c>
      <c r="E40" s="2"/>
      <c r="F40" s="20"/>
      <c r="G40" s="20"/>
      <c r="H40" s="5">
        <v>0</v>
      </c>
      <c r="I40" s="5"/>
      <c r="J40" s="5">
        <v>0</v>
      </c>
      <c r="K40" s="5">
        <v>0</v>
      </c>
      <c r="L40" s="5">
        <v>0</v>
      </c>
      <c r="M40" s="5"/>
      <c r="N40" s="5">
        <v>0</v>
      </c>
      <c r="O40" s="33">
        <f>SUMPRODUCT(spk1mu14[[#This Row],[1]:[8]]*(spk1mu14[[#This Row],[1]:[8]]&gt;=spk1mu14[[#This Row],[L]]))</f>
        <v>0</v>
      </c>
      <c r="P40" s="16">
        <f>IF(spk1mu14[[#This Row],[Name]]="",0,LARGE(spk1mu14[[#This Row],[1]:[8]],$D$2))</f>
        <v>0</v>
      </c>
      <c r="Q40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40" s="6"/>
      <c r="T40" s="1" t="e">
        <f>COUNTIFS(#REF!,"="&amp;spk1mu14[[#This Row],[L]])</f>
        <v>#REF!</v>
      </c>
      <c r="U40" s="1"/>
      <c r="AS40" s="1"/>
      <c r="AT40" s="1"/>
    </row>
    <row r="41" spans="1:46" customFormat="1" ht="11.25" hidden="1" customHeight="1">
      <c r="A41" s="2"/>
      <c r="B41" s="20" t="str">
        <f>IF(spk1mu14[[#This Row],[Name]]="","",_xlfn.RANK.EQ(spk1mu14[[#This Row],[Result]],_xlnm.Criteria,0))</f>
        <v/>
      </c>
      <c r="E41" s="7"/>
      <c r="F41" s="20"/>
      <c r="G41" s="20"/>
      <c r="H41" s="5">
        <v>0</v>
      </c>
      <c r="I41" s="5"/>
      <c r="J41" s="5">
        <v>0</v>
      </c>
      <c r="K41" s="5">
        <v>0</v>
      </c>
      <c r="L41" s="5">
        <v>0</v>
      </c>
      <c r="M41" s="5"/>
      <c r="N41" s="5">
        <v>0</v>
      </c>
      <c r="O41" s="33">
        <f>SUMPRODUCT(spk1mu14[[#This Row],[1]:[8]]*(spk1mu14[[#This Row],[1]:[8]]&gt;=spk1mu14[[#This Row],[L]]))</f>
        <v>0</v>
      </c>
      <c r="P41" s="16">
        <f>IF(spk1mu14[[#This Row],[Name]]="",0,LARGE(spk1mu14[[#This Row],[1]:[8]],$D$2))</f>
        <v>0</v>
      </c>
      <c r="Q41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41" s="6"/>
      <c r="T41" s="1" t="e">
        <f>COUNTIFS(#REF!,"="&amp;spk1mu14[[#This Row],[L]])</f>
        <v>#REF!</v>
      </c>
    </row>
    <row r="42" spans="1:46" customFormat="1" ht="11.25" hidden="1" customHeight="1">
      <c r="A42" s="2"/>
      <c r="B42" s="20" t="str">
        <f>IF(spk1mu14[[#This Row],[Name]]="","",_xlfn.RANK.EQ(spk1mu14[[#This Row],[Result]],_xlnm.Criteria,0))</f>
        <v/>
      </c>
      <c r="E42" s="7"/>
      <c r="F42" s="20"/>
      <c r="G42" s="20"/>
      <c r="H42" s="5">
        <v>0</v>
      </c>
      <c r="I42" s="5"/>
      <c r="J42" s="5">
        <v>0</v>
      </c>
      <c r="K42" s="5">
        <v>0</v>
      </c>
      <c r="L42" s="5">
        <v>0</v>
      </c>
      <c r="M42" s="5"/>
      <c r="N42" s="5">
        <v>0</v>
      </c>
      <c r="O42" s="33">
        <f>SUMPRODUCT(spk1mu14[[#This Row],[1]:[8]]*(spk1mu14[[#This Row],[1]:[8]]&gt;=spk1mu14[[#This Row],[L]]))</f>
        <v>0</v>
      </c>
      <c r="P42" s="16">
        <f>IF(spk1mu14[[#This Row],[Name]]="",0,LARGE(spk1mu14[[#This Row],[1]:[8]],$D$2))</f>
        <v>0</v>
      </c>
      <c r="Q42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42" s="6"/>
      <c r="T42" s="1" t="e">
        <f>COUNTIFS(#REF!,"="&amp;spk1mu14[[#This Row],[L]])</f>
        <v>#REF!</v>
      </c>
    </row>
    <row r="43" spans="1:46" customFormat="1" ht="11.25" hidden="1" customHeight="1">
      <c r="A43" s="2"/>
      <c r="B43" s="20" t="str">
        <f>IF(spk1mu14[[#This Row],[Name]]="","",_xlfn.RANK.EQ(spk1mu14[[#This Row],[Result]],_xlnm.Criteria,0))</f>
        <v/>
      </c>
      <c r="E43" s="7"/>
      <c r="F43" s="20"/>
      <c r="G43" s="20"/>
      <c r="H43" s="5">
        <v>0</v>
      </c>
      <c r="I43" s="5"/>
      <c r="J43" s="5">
        <v>0</v>
      </c>
      <c r="K43" s="5">
        <v>0</v>
      </c>
      <c r="L43" s="5">
        <v>0</v>
      </c>
      <c r="M43" s="5"/>
      <c r="N43" s="5">
        <v>0</v>
      </c>
      <c r="O43" s="33">
        <f>SUMPRODUCT(spk1mu14[[#This Row],[1]:[8]]*(spk1mu14[[#This Row],[1]:[8]]&gt;=spk1mu14[[#This Row],[L]]))</f>
        <v>0</v>
      </c>
      <c r="P43" s="16">
        <f>IF(spk1mu14[[#This Row],[Name]]="",0,LARGE(spk1mu14[[#This Row],[1]:[8]],$D$2))</f>
        <v>0</v>
      </c>
      <c r="Q43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43" s="6"/>
      <c r="T43" s="1" t="e">
        <f>COUNTIFS(#REF!,"="&amp;spk1mu14[[#This Row],[L]])</f>
        <v>#REF!</v>
      </c>
    </row>
    <row r="44" spans="1:46" customFormat="1" ht="11.25" hidden="1" customHeight="1">
      <c r="A44" s="2"/>
      <c r="B44" s="20" t="str">
        <f>IF(spk1mu14[[#This Row],[Name]]="","",_xlfn.RANK.EQ(spk1mu14[[#This Row],[Result]],_xlnm.Criteria,0))</f>
        <v/>
      </c>
      <c r="E44" s="7"/>
      <c r="F44" s="20"/>
      <c r="G44" s="20"/>
      <c r="H44" s="5">
        <v>0</v>
      </c>
      <c r="I44" s="5"/>
      <c r="J44" s="5">
        <v>0</v>
      </c>
      <c r="K44" s="5">
        <v>0</v>
      </c>
      <c r="L44" s="5">
        <v>0</v>
      </c>
      <c r="M44" s="5"/>
      <c r="N44" s="5">
        <v>0</v>
      </c>
      <c r="O44" s="33">
        <f>SUMPRODUCT(spk1mu14[[#This Row],[1]:[8]]*(spk1mu14[[#This Row],[1]:[8]]&gt;=spk1mu14[[#This Row],[L]]))</f>
        <v>0</v>
      </c>
      <c r="P44" s="16">
        <f>IF(spk1mu14[[#This Row],[Name]]="",0,LARGE(spk1mu14[[#This Row],[1]:[8]],$D$2))</f>
        <v>0</v>
      </c>
      <c r="Q44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44" s="6"/>
      <c r="T44" s="1" t="e">
        <f>COUNTIFS(#REF!,"="&amp;spk1mu14[[#This Row],[L]])</f>
        <v>#REF!</v>
      </c>
    </row>
    <row r="45" spans="1:46" ht="11.25" hidden="1" customHeight="1">
      <c r="B45" s="20" t="str">
        <f>IF(spk1mu14[[#This Row],[Name]]="","",_xlfn.RANK.EQ(spk1mu14[[#This Row],[Result]],_xlnm.Criteria,0))</f>
        <v/>
      </c>
      <c r="E45" s="2"/>
      <c r="F45" s="20"/>
      <c r="G45" s="20"/>
      <c r="H45" s="5">
        <v>0</v>
      </c>
      <c r="I45" s="5"/>
      <c r="J45" s="5">
        <v>0</v>
      </c>
      <c r="K45" s="5">
        <v>0</v>
      </c>
      <c r="L45" s="5">
        <v>0</v>
      </c>
      <c r="M45" s="5"/>
      <c r="N45" s="5">
        <v>0</v>
      </c>
      <c r="O45" s="33">
        <f>SUMPRODUCT(spk1mu14[[#This Row],[1]:[8]]*(spk1mu14[[#This Row],[1]:[8]]&gt;=spk1mu14[[#This Row],[L]]))</f>
        <v>0</v>
      </c>
      <c r="P45" s="16">
        <f>IF(spk1mu14[[#This Row],[Name]]="",0,LARGE(spk1mu14[[#This Row],[1]:[8]],$D$2))</f>
        <v>0</v>
      </c>
      <c r="Q45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45" s="6"/>
      <c r="T45" s="1" t="e">
        <f>COUNTIFS(#REF!,"="&amp;spk1mu14[[#This Row],[L]])</f>
        <v>#REF!</v>
      </c>
      <c r="U45" s="1"/>
      <c r="AS45" s="1"/>
      <c r="AT45" s="1"/>
    </row>
    <row r="46" spans="1:46" ht="11.25" hidden="1" customHeight="1">
      <c r="B46" s="20" t="str">
        <f>IF(spk1mu14[[#This Row],[Name]]="","",_xlfn.RANK.EQ(spk1mu14[[#This Row],[Result]],_xlnm.Criteria,0))</f>
        <v/>
      </c>
      <c r="E46" s="2"/>
      <c r="F46" s="20"/>
      <c r="G46" s="20"/>
      <c r="H46" s="5">
        <v>0</v>
      </c>
      <c r="I46" s="5"/>
      <c r="J46" s="5">
        <v>0</v>
      </c>
      <c r="K46" s="5">
        <v>0</v>
      </c>
      <c r="L46" s="5">
        <v>0</v>
      </c>
      <c r="M46" s="5"/>
      <c r="N46" s="5">
        <v>0</v>
      </c>
      <c r="O46" s="33">
        <f>SUMPRODUCT(spk1mu14[[#This Row],[1]:[8]]*(spk1mu14[[#This Row],[1]:[8]]&gt;=spk1mu14[[#This Row],[L]]))</f>
        <v>0</v>
      </c>
      <c r="P46" s="16">
        <f>IF(spk1mu14[[#This Row],[Name]]="",0,LARGE(spk1mu14[[#This Row],[1]:[8]],$D$2))</f>
        <v>0</v>
      </c>
      <c r="Q46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46" s="6"/>
      <c r="T46" s="1" t="e">
        <f>COUNTIFS(#REF!,"="&amp;spk1mu14[[#This Row],[L]])</f>
        <v>#REF!</v>
      </c>
      <c r="U46" s="1"/>
      <c r="AS46" s="1"/>
      <c r="AT46" s="1"/>
    </row>
    <row r="47" spans="1:46" ht="11.25" hidden="1" customHeight="1">
      <c r="B47" s="20" t="str">
        <f>IF(spk1mu14[[#This Row],[Name]]="","",_xlfn.RANK.EQ(spk1mu14[[#This Row],[Result]],_xlnm.Criteria,0))</f>
        <v/>
      </c>
      <c r="E47" s="2"/>
      <c r="F47" s="20"/>
      <c r="G47" s="20"/>
      <c r="H47" s="5">
        <v>0</v>
      </c>
      <c r="I47" s="5"/>
      <c r="J47" s="5">
        <v>0</v>
      </c>
      <c r="K47" s="5">
        <v>0</v>
      </c>
      <c r="L47" s="5">
        <v>0</v>
      </c>
      <c r="M47" s="5"/>
      <c r="N47" s="5">
        <v>0</v>
      </c>
      <c r="O47" s="33">
        <f>SUMPRODUCT(spk1mu14[[#This Row],[1]:[8]]*(spk1mu14[[#This Row],[1]:[8]]&gt;=spk1mu14[[#This Row],[L]]))</f>
        <v>0</v>
      </c>
      <c r="P47" s="16">
        <f>IF(spk1mu14[[#This Row],[Name]]="",0,LARGE(spk1mu14[[#This Row],[1]:[8]],$D$2))</f>
        <v>0</v>
      </c>
      <c r="Q47" s="91" t="str">
        <f>IF(OR((COUNTIFS(spk1mu14[[#This Row],[1]:[8]],"="&amp;spk1mu14[[#This Row],[L]])=8),(COUNTIFS(spk1mu14[[#This Row],[1]:[8]],"="&amp;spk1mu14[[#This Row],[L]])&lt;2)),"OK","Fehler (zu wenig Streicher) [Gleiche Werte jeweils um 0,001 erhöhen]")</f>
        <v>Fehler (zu wenig Streicher) [Gleiche Werte jeweils um 0,001 erhöhen]</v>
      </c>
      <c r="R47" s="6"/>
      <c r="T47" s="1" t="e">
        <f>COUNTIFS(#REF!,"="&amp;spk1mu14[[#This Row],[L]])</f>
        <v>#REF!</v>
      </c>
      <c r="U47" s="1"/>
      <c r="AS47" s="1"/>
      <c r="AT47" s="1"/>
    </row>
    <row r="48" spans="1:46">
      <c r="V48" s="6"/>
    </row>
    <row r="49" spans="1:46">
      <c r="V49" s="6"/>
    </row>
    <row r="50" spans="1:46" ht="15" hidden="1" customHeight="1">
      <c r="P50" s="174" t="s">
        <v>17</v>
      </c>
      <c r="V50" s="6"/>
    </row>
    <row r="51" spans="1:46" ht="24.95" hidden="1" customHeight="1" thickBot="1">
      <c r="A51" s="176" t="s">
        <v>40</v>
      </c>
      <c r="B51" s="177"/>
      <c r="C51" s="177"/>
      <c r="D51" s="177"/>
      <c r="E51" s="177"/>
      <c r="F51" s="177"/>
      <c r="G51" s="178"/>
      <c r="H51" s="179"/>
      <c r="I51" s="180"/>
      <c r="J51" s="181"/>
      <c r="K51" s="180"/>
      <c r="L51" s="181"/>
      <c r="M51" s="182"/>
      <c r="N51" s="183"/>
      <c r="O51" s="46"/>
      <c r="P51" s="174"/>
      <c r="Q51" s="17"/>
      <c r="R51" s="6"/>
      <c r="U51" s="1"/>
      <c r="AO51" s="4"/>
      <c r="AP51" s="4"/>
      <c r="AS51" s="1"/>
      <c r="AT51" s="1"/>
    </row>
    <row r="52" spans="1:46" ht="12" hidden="1" thickBot="1">
      <c r="A52" s="83" t="s">
        <v>19</v>
      </c>
      <c r="B52" s="4" t="s">
        <v>20</v>
      </c>
      <c r="C52" s="4" t="s">
        <v>21</v>
      </c>
      <c r="D52" s="4" t="s">
        <v>22</v>
      </c>
      <c r="E52" s="4" t="s">
        <v>23</v>
      </c>
      <c r="F52" s="4" t="s">
        <v>24</v>
      </c>
      <c r="G52" s="4" t="s">
        <v>25</v>
      </c>
      <c r="H52" s="4" t="s">
        <v>26</v>
      </c>
      <c r="I52" s="4" t="s">
        <v>27</v>
      </c>
      <c r="J52" s="4" t="s">
        <v>28</v>
      </c>
      <c r="K52" s="4" t="s">
        <v>29</v>
      </c>
      <c r="L52" s="4" t="s">
        <v>30</v>
      </c>
      <c r="M52" s="4" t="s">
        <v>31</v>
      </c>
      <c r="N52" s="4" t="s">
        <v>32</v>
      </c>
      <c r="O52" s="148" t="s">
        <v>33</v>
      </c>
      <c r="P52" s="83" t="s">
        <v>34</v>
      </c>
      <c r="Q52" s="17" t="s">
        <v>35</v>
      </c>
      <c r="R52" s="6"/>
      <c r="U52" s="1"/>
      <c r="AO52" s="4"/>
      <c r="AP52" s="4"/>
      <c r="AS52" s="1"/>
      <c r="AT52" s="1"/>
    </row>
    <row r="53" spans="1:46" hidden="1">
      <c r="A53" s="32"/>
      <c r="B53" s="20">
        <f>IF(spk1wu14[[#This Row],[Name]]="","",_xlfn.RANK.EQ(spk1wu14[[#This Row],[Result]],spk1wu14[Result],0))</f>
        <v>1</v>
      </c>
      <c r="C53" s="1" t="s">
        <v>92</v>
      </c>
      <c r="D53" s="1" t="s">
        <v>93</v>
      </c>
      <c r="E53" s="2" t="s">
        <v>94</v>
      </c>
      <c r="F53" s="20" t="s">
        <v>39</v>
      </c>
      <c r="G53" s="5">
        <v>0.1</v>
      </c>
      <c r="H53" s="5">
        <v>1E-3</v>
      </c>
      <c r="I53" s="5">
        <v>2E-3</v>
      </c>
      <c r="J53" s="5">
        <v>3.0000000000000001E-3</v>
      </c>
      <c r="K53" s="5">
        <v>4.0000000000000001E-3</v>
      </c>
      <c r="L53" s="5">
        <v>5.0000000000000001E-3</v>
      </c>
      <c r="M53" s="5">
        <v>6.0000000000000001E-3</v>
      </c>
      <c r="N53" s="5">
        <v>7.0000000000000001E-3</v>
      </c>
      <c r="O53" s="106">
        <f>SUMPRODUCT(spk1wu14[[#This Row],[1]:[8]]*(spk1wu14[[#This Row],[1]:[8]]&gt;=spk1wu14[[#This Row],[L]]))</f>
        <v>0.12500000000000003</v>
      </c>
      <c r="P53" s="96">
        <f>IF(spk1wu14[[#This Row],[Name]]="",0,LARGE(spk1wu14[[#This Row],[1]:[8]],$D$2))</f>
        <v>3.0000000000000001E-3</v>
      </c>
      <c r="Q53" s="91" t="str">
        <f>IF(OR((COUNTIFS(spk1wu14[[#This Row],[1]:[8]],"="&amp;spk1wu14[[#This Row],[L]])=8),(COUNTIFS(spk1wu14[[#This Row],[1]:[8]],"="&amp;spk1wu14[[#This Row],[L]])&lt;2)),"OK","Fehler (zu wenig Streicher) [Gleiche Werte jeweils um 0,001 erhöhen]")</f>
        <v>OK</v>
      </c>
      <c r="R53" s="6"/>
      <c r="U53" s="1"/>
      <c r="AO53" s="4"/>
      <c r="AP53" s="4"/>
      <c r="AS53" s="1"/>
      <c r="AT53" s="1"/>
    </row>
    <row r="54" spans="1:46" hidden="1">
      <c r="A54" s="32"/>
      <c r="B54" s="20"/>
      <c r="E54" s="2"/>
      <c r="F54" s="20"/>
      <c r="G54" s="5">
        <v>0</v>
      </c>
      <c r="H54" s="5">
        <v>1E-3</v>
      </c>
      <c r="I54" s="5">
        <v>2E-3</v>
      </c>
      <c r="J54" s="5">
        <v>3.0000000000000001E-3</v>
      </c>
      <c r="K54" s="5">
        <v>4.0000000000000001E-3</v>
      </c>
      <c r="L54" s="5">
        <v>5.0000000000000001E-3</v>
      </c>
      <c r="M54" s="5">
        <v>6.0000000000000001E-3</v>
      </c>
      <c r="N54" s="5">
        <v>7.0000000000000001E-3</v>
      </c>
      <c r="O54" s="33">
        <f>SUMPRODUCT(spk1wu14[[#This Row],[1]:[8]]*(spk1wu14[[#This Row],[1]:[8]]&gt;=spk1wu14[[#This Row],[L]]))</f>
        <v>2.7999999999999997E-2</v>
      </c>
      <c r="P54" s="98">
        <f>IF(spk1wu14[[#This Row],[Name]]="",0,LARGE(spk1wu14[[#This Row],[1]:[8]],$D$2))</f>
        <v>0</v>
      </c>
      <c r="Q54" s="92" t="str">
        <f>IF(OR((COUNTIFS(spk1wu14[[#This Row],[1]:[8]],"="&amp;spk1wu14[[#This Row],[L]])=8),(COUNTIFS(spk1wu14[[#This Row],[1]:[8]],"="&amp;spk1wu14[[#This Row],[L]])&lt;2)),"OK","Fehler (zu wenig Streicher) [Gleiche Werte jeweils um 0,001 erhöhen]")</f>
        <v>OK</v>
      </c>
      <c r="U54" s="1"/>
      <c r="AO54" s="4"/>
      <c r="AP54" s="4"/>
      <c r="AS54" s="1"/>
      <c r="AT54" s="1"/>
    </row>
    <row r="55" spans="1:46" hidden="1">
      <c r="A55" s="32"/>
      <c r="B55" s="20"/>
      <c r="E55" s="2"/>
      <c r="F55" s="20"/>
      <c r="G55" s="5">
        <v>0</v>
      </c>
      <c r="H55" s="5">
        <v>1E-3</v>
      </c>
      <c r="I55" s="5">
        <v>2E-3</v>
      </c>
      <c r="J55" s="5">
        <v>3.0000000000000001E-3</v>
      </c>
      <c r="K55" s="5">
        <v>4.0000000000000001E-3</v>
      </c>
      <c r="L55" s="5">
        <v>5.0000000000000001E-3</v>
      </c>
      <c r="M55" s="5">
        <v>6.0000000000000001E-3</v>
      </c>
      <c r="N55" s="5">
        <v>7.0000000000000001E-3</v>
      </c>
      <c r="O55" s="33">
        <f>SUMPRODUCT(spk1wu14[[#This Row],[1]:[8]]*(spk1wu14[[#This Row],[1]:[8]]&gt;=spk1wu14[[#This Row],[L]]))</f>
        <v>2.7999999999999997E-2</v>
      </c>
      <c r="P55" s="98">
        <f>IF(spk1wu14[[#This Row],[Name]]="",0,LARGE(spk1wu14[[#This Row],[1]:[8]],$D$2))</f>
        <v>0</v>
      </c>
      <c r="Q55" s="92" t="str">
        <f>IF(OR((COUNTIFS(spk1wu14[[#This Row],[1]:[8]],"="&amp;spk1wu14[[#This Row],[L]])=8),(COUNTIFS(spk1wu14[[#This Row],[1]:[8]],"="&amp;spk1wu14[[#This Row],[L]])&lt;2)),"OK","Fehler (zu wenig Streicher) [Gleiche Werte jeweils um 0,001 erhöhen]")</f>
        <v>OK</v>
      </c>
      <c r="U55" s="1"/>
      <c r="AO55" s="4"/>
      <c r="AP55" s="4"/>
      <c r="AS55" s="1"/>
      <c r="AT55" s="1"/>
    </row>
    <row r="56" spans="1:46" hidden="1">
      <c r="A56" s="32"/>
      <c r="B56" s="20"/>
      <c r="E56" s="2"/>
      <c r="F56" s="20"/>
      <c r="G56" s="5">
        <v>0</v>
      </c>
      <c r="H56" s="5">
        <v>1E-3</v>
      </c>
      <c r="I56" s="5">
        <v>2E-3</v>
      </c>
      <c r="J56" s="5">
        <v>3.0000000000000001E-3</v>
      </c>
      <c r="K56" s="5">
        <v>4.0000000000000001E-3</v>
      </c>
      <c r="L56" s="5">
        <v>5.0000000000000001E-3</v>
      </c>
      <c r="M56" s="5">
        <v>6.0000000000000001E-3</v>
      </c>
      <c r="N56" s="5">
        <v>7.0000000000000001E-3</v>
      </c>
      <c r="O56" s="33">
        <f>SUMPRODUCT(spk1wu14[[#This Row],[1]:[8]]*(spk1wu14[[#This Row],[1]:[8]]&gt;=spk1wu14[[#This Row],[L]]))</f>
        <v>2.7999999999999997E-2</v>
      </c>
      <c r="P56" s="98">
        <f>IF(spk1wu14[[#This Row],[Name]]="",0,LARGE(spk1wu14[[#This Row],[1]:[8]],$D$2))</f>
        <v>0</v>
      </c>
      <c r="Q56" s="92" t="str">
        <f>IF(OR((COUNTIFS(spk1wu14[[#This Row],[1]:[8]],"="&amp;spk1wu14[[#This Row],[L]])=8),(COUNTIFS(spk1wu14[[#This Row],[1]:[8]],"="&amp;spk1wu14[[#This Row],[L]])&lt;2)),"OK","Fehler (zu wenig Streicher) [Gleiche Werte jeweils um 0,001 erhöhen]")</f>
        <v>OK</v>
      </c>
      <c r="U56" s="1"/>
      <c r="AO56" s="4"/>
      <c r="AP56" s="4"/>
      <c r="AS56" s="1"/>
      <c r="AT56" s="1"/>
    </row>
    <row r="57" spans="1:46" hidden="1">
      <c r="A57" s="32"/>
      <c r="B57" s="20"/>
      <c r="E57" s="2"/>
      <c r="F57" s="20"/>
      <c r="G57" s="5">
        <v>0</v>
      </c>
      <c r="H57" s="5">
        <v>1E-3</v>
      </c>
      <c r="I57" s="5">
        <v>2E-3</v>
      </c>
      <c r="J57" s="5">
        <v>3.0000000000000001E-3</v>
      </c>
      <c r="K57" s="5">
        <v>4.0000000000000001E-3</v>
      </c>
      <c r="L57" s="5">
        <v>5.0000000000000001E-3</v>
      </c>
      <c r="M57" s="5">
        <v>6.0000000000000001E-3</v>
      </c>
      <c r="N57" s="5">
        <v>7.0000000000000001E-3</v>
      </c>
      <c r="O57" s="33">
        <f>SUMPRODUCT(spk1wu14[[#This Row],[1]:[8]]*(spk1wu14[[#This Row],[1]:[8]]&gt;=spk1wu14[[#This Row],[L]]))</f>
        <v>2.7999999999999997E-2</v>
      </c>
      <c r="P57" s="98">
        <f>IF(spk1wu14[[#This Row],[Name]]="",0,LARGE(spk1wu14[[#This Row],[1]:[8]],$D$2))</f>
        <v>0</v>
      </c>
      <c r="Q57" s="92" t="str">
        <f>IF(OR((COUNTIFS(spk1wu14[[#This Row],[1]:[8]],"="&amp;spk1wu14[[#This Row],[L]])=8),(COUNTIFS(spk1wu14[[#This Row],[1]:[8]],"="&amp;spk1wu14[[#This Row],[L]])&lt;2)),"OK","Fehler (zu wenig Streicher) [Gleiche Werte jeweils um 0,001 erhöhen]")</f>
        <v>OK</v>
      </c>
      <c r="U57" s="1"/>
      <c r="AO57" s="4"/>
      <c r="AP57" s="4"/>
      <c r="AS57" s="1"/>
      <c r="AT57" s="1"/>
    </row>
    <row r="58" spans="1:46" hidden="1">
      <c r="A58" s="32"/>
      <c r="B58" s="20"/>
      <c r="E58" s="2"/>
      <c r="F58" s="20"/>
      <c r="G58" s="5">
        <v>0</v>
      </c>
      <c r="H58" s="5">
        <v>1E-3</v>
      </c>
      <c r="I58" s="5">
        <v>2E-3</v>
      </c>
      <c r="J58" s="5">
        <v>3.0000000000000001E-3</v>
      </c>
      <c r="K58" s="5">
        <v>4.0000000000000001E-3</v>
      </c>
      <c r="L58" s="5">
        <v>5.0000000000000001E-3</v>
      </c>
      <c r="M58" s="5">
        <v>6.0000000000000001E-3</v>
      </c>
      <c r="N58" s="5">
        <v>7.0000000000000001E-3</v>
      </c>
      <c r="O58" s="33">
        <f>SUMPRODUCT(spk1wu14[[#This Row],[1]:[8]]*(spk1wu14[[#This Row],[1]:[8]]&gt;=spk1wu14[[#This Row],[L]]))</f>
        <v>2.7999999999999997E-2</v>
      </c>
      <c r="P58" s="98">
        <f>IF(spk1wu14[[#This Row],[Name]]="",0,LARGE(spk1wu14[[#This Row],[1]:[8]],$D$2))</f>
        <v>0</v>
      </c>
      <c r="Q58" s="92" t="str">
        <f>IF(OR((COUNTIFS(spk1wu14[[#This Row],[1]:[8]],"="&amp;spk1wu14[[#This Row],[L]])=8),(COUNTIFS(spk1wu14[[#This Row],[1]:[8]],"="&amp;spk1wu14[[#This Row],[L]])&lt;2)),"OK","Fehler (zu wenig Streicher) [Gleiche Werte jeweils um 0,001 erhöhen]")</f>
        <v>OK</v>
      </c>
      <c r="U58" s="1"/>
      <c r="AO58" s="4"/>
      <c r="AP58" s="4"/>
      <c r="AS58" s="1"/>
      <c r="AT58" s="1"/>
    </row>
    <row r="59" spans="1:46" hidden="1">
      <c r="A59" s="32"/>
      <c r="B59" s="20"/>
      <c r="E59" s="2"/>
      <c r="F59" s="20"/>
      <c r="G59" s="5">
        <v>0</v>
      </c>
      <c r="H59" s="5">
        <v>1E-3</v>
      </c>
      <c r="I59" s="5">
        <v>2E-3</v>
      </c>
      <c r="J59" s="5">
        <v>3.0000000000000001E-3</v>
      </c>
      <c r="K59" s="5">
        <v>4.0000000000000001E-3</v>
      </c>
      <c r="L59" s="5">
        <v>5.0000000000000001E-3</v>
      </c>
      <c r="M59" s="5">
        <v>6.0000000000000001E-3</v>
      </c>
      <c r="N59" s="5">
        <v>7.0000000000000001E-3</v>
      </c>
      <c r="O59" s="33">
        <f>SUMPRODUCT(spk1wu14[[#This Row],[1]:[8]]*(spk1wu14[[#This Row],[1]:[8]]&gt;=spk1wu14[[#This Row],[L]]))</f>
        <v>2.7999999999999997E-2</v>
      </c>
      <c r="P59" s="98">
        <f>IF(spk1wu14[[#This Row],[Name]]="",0,LARGE(spk1wu14[[#This Row],[1]:[8]],$D$2))</f>
        <v>0</v>
      </c>
      <c r="Q59" s="92" t="str">
        <f>IF(OR((COUNTIFS(spk1wu14[[#This Row],[1]:[8]],"="&amp;spk1wu14[[#This Row],[L]])=8),(COUNTIFS(spk1wu14[[#This Row],[1]:[8]],"="&amp;spk1wu14[[#This Row],[L]])&lt;2)),"OK","Fehler (zu wenig Streicher) [Gleiche Werte jeweils um 0,001 erhöhen]")</f>
        <v>OK</v>
      </c>
      <c r="U59" s="1"/>
      <c r="AO59" s="4"/>
      <c r="AP59" s="4"/>
      <c r="AS59" s="1"/>
      <c r="AT59" s="1"/>
    </row>
    <row r="60" spans="1:46" hidden="1">
      <c r="A60" s="32"/>
      <c r="B60" s="20"/>
      <c r="E60" s="2"/>
      <c r="F60" s="20"/>
      <c r="G60" s="5">
        <v>0</v>
      </c>
      <c r="H60" s="5">
        <v>1E-3</v>
      </c>
      <c r="I60" s="5">
        <v>2E-3</v>
      </c>
      <c r="J60" s="5">
        <v>3.0000000000000001E-3</v>
      </c>
      <c r="K60" s="5">
        <v>4.0000000000000001E-3</v>
      </c>
      <c r="L60" s="5">
        <v>5.0000000000000001E-3</v>
      </c>
      <c r="M60" s="5">
        <v>6.0000000000000001E-3</v>
      </c>
      <c r="N60" s="5">
        <v>7.0000000000000001E-3</v>
      </c>
      <c r="O60" s="33">
        <f>SUMPRODUCT(spk1wu14[[#This Row],[1]:[8]]*(spk1wu14[[#This Row],[1]:[8]]&gt;=spk1wu14[[#This Row],[L]]))</f>
        <v>2.7999999999999997E-2</v>
      </c>
      <c r="P60" s="98">
        <f>IF(spk1wu14[[#This Row],[Name]]="",0,LARGE(spk1wu14[[#This Row],[1]:[8]],$D$2))</f>
        <v>0</v>
      </c>
      <c r="Q60" s="92" t="str">
        <f>IF(OR((COUNTIFS(spk1wu14[[#This Row],[1]:[8]],"="&amp;spk1wu14[[#This Row],[L]])=8),(COUNTIFS(spk1wu14[[#This Row],[1]:[8]],"="&amp;spk1wu14[[#This Row],[L]])&lt;2)),"OK","Fehler (zu wenig Streicher) [Gleiche Werte jeweils um 0,001 erhöhen]")</f>
        <v>OK</v>
      </c>
      <c r="U60" s="1"/>
      <c r="AO60" s="4"/>
      <c r="AP60" s="4"/>
      <c r="AS60" s="1"/>
      <c r="AT60" s="1"/>
    </row>
    <row r="61" spans="1:46" hidden="1">
      <c r="A61" s="32"/>
      <c r="B61" s="20"/>
      <c r="E61" s="2"/>
      <c r="F61" s="20"/>
      <c r="G61" s="5">
        <v>0</v>
      </c>
      <c r="H61" s="5">
        <v>1E-3</v>
      </c>
      <c r="I61" s="5">
        <v>2E-3</v>
      </c>
      <c r="J61" s="5">
        <v>3.0000000000000001E-3</v>
      </c>
      <c r="K61" s="5">
        <v>4.0000000000000001E-3</v>
      </c>
      <c r="L61" s="5">
        <v>5.0000000000000001E-3</v>
      </c>
      <c r="M61" s="5">
        <v>6.0000000000000001E-3</v>
      </c>
      <c r="N61" s="5">
        <v>7.0000000000000001E-3</v>
      </c>
      <c r="O61" s="33">
        <f>SUMPRODUCT(spk1wu14[[#This Row],[1]:[8]]*(spk1wu14[[#This Row],[1]:[8]]&gt;=spk1wu14[[#This Row],[L]]))</f>
        <v>2.7999999999999997E-2</v>
      </c>
      <c r="P61" s="98">
        <f>IF(spk1wu14[[#This Row],[Name]]="",0,LARGE(spk1wu14[[#This Row],[1]:[8]],$D$2))</f>
        <v>0</v>
      </c>
      <c r="Q61" s="92" t="str">
        <f>IF(OR((COUNTIFS(spk1wu14[[#This Row],[1]:[8]],"="&amp;spk1wu14[[#This Row],[L]])=8),(COUNTIFS(spk1wu14[[#This Row],[1]:[8]],"="&amp;spk1wu14[[#This Row],[L]])&lt;2)),"OK","Fehler (zu wenig Streicher) [Gleiche Werte jeweils um 0,001 erhöhen]")</f>
        <v>OK</v>
      </c>
      <c r="U61" s="1"/>
      <c r="AO61" s="4"/>
      <c r="AP61" s="4"/>
      <c r="AS61" s="1"/>
      <c r="AT61" s="1"/>
    </row>
    <row r="62" spans="1:46" hidden="1">
      <c r="A62" s="32"/>
      <c r="B62" s="20"/>
      <c r="E62" s="2"/>
      <c r="F62" s="20"/>
      <c r="G62" s="5">
        <v>0</v>
      </c>
      <c r="H62" s="5">
        <v>1E-3</v>
      </c>
      <c r="I62" s="5">
        <v>2E-3</v>
      </c>
      <c r="J62" s="5">
        <v>3.0000000000000001E-3</v>
      </c>
      <c r="K62" s="5">
        <v>4.0000000000000001E-3</v>
      </c>
      <c r="L62" s="5">
        <v>5.0000000000000001E-3</v>
      </c>
      <c r="M62" s="5">
        <v>6.0000000000000001E-3</v>
      </c>
      <c r="N62" s="5">
        <v>7.0000000000000001E-3</v>
      </c>
      <c r="O62" s="33">
        <f>SUMPRODUCT(spk1wu14[[#This Row],[1]:[8]]*(spk1wu14[[#This Row],[1]:[8]]&gt;=spk1wu14[[#This Row],[L]]))</f>
        <v>2.7999999999999997E-2</v>
      </c>
      <c r="P62" s="98">
        <f>IF(spk1wu14[[#This Row],[Name]]="",0,LARGE(spk1wu14[[#This Row],[1]:[8]],$D$2))</f>
        <v>0</v>
      </c>
      <c r="Q62" s="92" t="str">
        <f>IF(OR((COUNTIFS(spk1wu14[[#This Row],[1]:[8]],"="&amp;spk1wu14[[#This Row],[L]])=8),(COUNTIFS(spk1wu14[[#This Row],[1]:[8]],"="&amp;spk1wu14[[#This Row],[L]])&lt;2)),"OK","Fehler (zu wenig Streicher) [Gleiche Werte jeweils um 0,001 erhöhen]")</f>
        <v>OK</v>
      </c>
      <c r="U62" s="1"/>
      <c r="AO62" s="4"/>
      <c r="AP62" s="4"/>
      <c r="AS62" s="1"/>
      <c r="AT62" s="1"/>
    </row>
    <row r="63" spans="1:46" hidden="1">
      <c r="A63" s="32"/>
      <c r="B63" s="20"/>
      <c r="E63" s="2"/>
      <c r="F63" s="20"/>
      <c r="G63" s="5">
        <v>0</v>
      </c>
      <c r="H63" s="5">
        <v>1E-3</v>
      </c>
      <c r="I63" s="5">
        <v>2E-3</v>
      </c>
      <c r="J63" s="5">
        <v>3.0000000000000001E-3</v>
      </c>
      <c r="K63" s="5">
        <v>4.0000000000000001E-3</v>
      </c>
      <c r="L63" s="5">
        <v>5.0000000000000001E-3</v>
      </c>
      <c r="M63" s="5">
        <v>6.0000000000000001E-3</v>
      </c>
      <c r="N63" s="5">
        <v>7.0000000000000001E-3</v>
      </c>
      <c r="O63" s="33">
        <f>SUMPRODUCT(spk1wu14[[#This Row],[1]:[8]]*(spk1wu14[[#This Row],[1]:[8]]&gt;=spk1wu14[[#This Row],[L]]))</f>
        <v>2.7999999999999997E-2</v>
      </c>
      <c r="P63" s="98">
        <f>IF(spk1wu14[[#This Row],[Name]]="",0,LARGE(spk1wu14[[#This Row],[1]:[8]],$D$2))</f>
        <v>0</v>
      </c>
      <c r="Q63" s="92" t="str">
        <f>IF(OR((COUNTIFS(spk1wu14[[#This Row],[1]:[8]],"="&amp;spk1wu14[[#This Row],[L]])=8),(COUNTIFS(spk1wu14[[#This Row],[1]:[8]],"="&amp;spk1wu14[[#This Row],[L]])&lt;2)),"OK","Fehler (zu wenig Streicher) [Gleiche Werte jeweils um 0,001 erhöhen]")</f>
        <v>OK</v>
      </c>
      <c r="U63" s="1"/>
      <c r="AO63" s="4"/>
      <c r="AP63" s="4"/>
      <c r="AS63" s="1"/>
      <c r="AT63" s="1"/>
    </row>
    <row r="64" spans="1:46" ht="12" hidden="1" thickBot="1">
      <c r="A64" s="34"/>
      <c r="B64" s="35"/>
      <c r="C64" s="51"/>
      <c r="D64" s="51"/>
      <c r="E64" s="52"/>
      <c r="F64" s="35"/>
      <c r="G64" s="36">
        <v>0</v>
      </c>
      <c r="H64" s="36">
        <v>1E-3</v>
      </c>
      <c r="I64" s="36">
        <v>2E-3</v>
      </c>
      <c r="J64" s="36">
        <v>3.0000000000000001E-3</v>
      </c>
      <c r="K64" s="36">
        <v>4.0000000000000001E-3</v>
      </c>
      <c r="L64" s="36">
        <v>5.0000000000000001E-3</v>
      </c>
      <c r="M64" s="36">
        <v>6.0000000000000001E-3</v>
      </c>
      <c r="N64" s="36">
        <v>7.0000000000000001E-3</v>
      </c>
      <c r="O64" s="37">
        <f>SUMPRODUCT(spk1wu14[[#This Row],[1]:[8]]*(spk1wu14[[#This Row],[1]:[8]]&gt;=spk1wu14[[#This Row],[L]]))</f>
        <v>2.7999999999999997E-2</v>
      </c>
      <c r="P64" s="98">
        <f>IF(spk1wu14[[#This Row],[Name]]="",0,LARGE(spk1wu14[[#This Row],[1]:[8]],$D$2))</f>
        <v>0</v>
      </c>
      <c r="Q64" s="92" t="str">
        <f>IF(OR((COUNTIFS(spk1wu14[[#This Row],[1]:[8]],"="&amp;spk1wu14[[#This Row],[L]])=8),(COUNTIFS(spk1wu14[[#This Row],[1]:[8]],"="&amp;spk1wu14[[#This Row],[L]])&lt;2)),"OK","Fehler (zu wenig Streicher) [Gleiche Werte jeweils um 0,001 erhöhen]")</f>
        <v>OK</v>
      </c>
      <c r="U64" s="1"/>
      <c r="AO64" s="4"/>
      <c r="AP64" s="4"/>
      <c r="AS64" s="1"/>
      <c r="AT64" s="1"/>
    </row>
  </sheetData>
  <mergeCells count="29">
    <mergeCell ref="M3:N3"/>
    <mergeCell ref="I2:J2"/>
    <mergeCell ref="I3:J3"/>
    <mergeCell ref="A2:C5"/>
    <mergeCell ref="K6:L6"/>
    <mergeCell ref="M6:N6"/>
    <mergeCell ref="I6:J6"/>
    <mergeCell ref="P50:P51"/>
    <mergeCell ref="M51:N51"/>
    <mergeCell ref="A51:F51"/>
    <mergeCell ref="G51:H51"/>
    <mergeCell ref="I51:J51"/>
    <mergeCell ref="K51:L51"/>
    <mergeCell ref="AP1:AR1"/>
    <mergeCell ref="D2:F5"/>
    <mergeCell ref="G2:H2"/>
    <mergeCell ref="K2:L2"/>
    <mergeCell ref="M2:N2"/>
    <mergeCell ref="G3:H3"/>
    <mergeCell ref="G4:H4"/>
    <mergeCell ref="I4:J4"/>
    <mergeCell ref="K4:L4"/>
    <mergeCell ref="M4:N4"/>
    <mergeCell ref="D1:O1"/>
    <mergeCell ref="P5:P6"/>
    <mergeCell ref="A6:F6"/>
    <mergeCell ref="G6:H6"/>
    <mergeCell ref="A1:C1"/>
    <mergeCell ref="K3:L3"/>
  </mergeCells>
  <phoneticPr fontId="11" type="noConversion"/>
  <conditionalFormatting sqref="G53:N64">
    <cfRule type="expression" dxfId="284" priority="14">
      <formula>G53&lt;=$P53</formula>
    </cfRule>
  </conditionalFormatting>
  <conditionalFormatting sqref="G53:P64">
    <cfRule type="expression" dxfId="283" priority="4">
      <formula>G53&lt;1</formula>
    </cfRule>
  </conditionalFormatting>
  <conditionalFormatting sqref="G8:N19">
    <cfRule type="expression" dxfId="282" priority="3">
      <formula>G8&lt;($P8)</formula>
    </cfRule>
  </conditionalFormatting>
  <conditionalFormatting sqref="G8:O19">
    <cfRule type="expression" dxfId="281" priority="2">
      <formula>G8&gt;=$P8</formula>
    </cfRule>
  </conditionalFormatting>
  <conditionalFormatting sqref="G8:P19">
    <cfRule type="expression" dxfId="280" priority="1">
      <formula>G8&lt;1</formula>
    </cfRule>
  </conditionalFormatting>
  <conditionalFormatting sqref="G53:O64">
    <cfRule type="expression" dxfId="279" priority="5">
      <formula>G53&gt;=$P53</formula>
    </cfRule>
  </conditionalFormatting>
  <pageMargins left="0.70866141732283472" right="0.70866141732283472" top="0.78740157480314965" bottom="0.78740157480314965" header="0.31496062992125984" footer="0.31496062992125984"/>
  <pageSetup paperSize="9" scale="68" fitToHeight="3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54079-F85D-4D26-87FA-7DA91F9196F5}">
  <sheetPr codeName="Tabelle5"/>
  <dimension ref="A1:AR41"/>
  <sheetViews>
    <sheetView topLeftCell="A5" zoomScaleNormal="100" workbookViewId="0">
      <selection activeCell="R12" sqref="R12"/>
    </sheetView>
  </sheetViews>
  <sheetFormatPr defaultColWidth="11.42578125" defaultRowHeight="11.25"/>
  <cols>
    <col min="1" max="2" width="5.7109375" style="2" customWidth="1"/>
    <col min="3" max="4" width="15.7109375" style="1" customWidth="1"/>
    <col min="5" max="5" width="15.7109375" style="20" customWidth="1"/>
    <col min="6" max="6" width="4.7109375" style="2" customWidth="1"/>
    <col min="7" max="11" width="7.7109375" style="2" customWidth="1"/>
    <col min="12" max="14" width="7.7109375" style="1" customWidth="1"/>
    <col min="15" max="15" width="5.7109375" style="17" customWidth="1"/>
    <col min="16" max="16" width="6.7109375" style="1" customWidth="1"/>
    <col min="17" max="41" width="3.28515625" style="1" customWidth="1"/>
    <col min="42" max="42" width="6.42578125" style="4" customWidth="1"/>
    <col min="43" max="43" width="3.28515625" style="4" customWidth="1"/>
    <col min="44" max="44" width="11.42578125" style="1"/>
    <col min="45" max="45" width="8.7109375" style="1" customWidth="1"/>
    <col min="46" max="46" width="6.85546875" style="1" customWidth="1"/>
    <col min="47" max="47" width="8.42578125" style="1" customWidth="1"/>
    <col min="48" max="16384" width="11.42578125" style="1"/>
  </cols>
  <sheetData>
    <row r="1" spans="1:43" ht="60" customHeight="1" thickBot="1">
      <c r="A1" s="189" t="s">
        <v>47</v>
      </c>
      <c r="B1" s="190"/>
      <c r="C1" s="190"/>
      <c r="D1" s="187" t="s">
        <v>1</v>
      </c>
      <c r="E1" s="187"/>
      <c r="F1" s="187"/>
      <c r="G1" s="187"/>
      <c r="H1" s="187"/>
      <c r="I1" s="187"/>
      <c r="J1" s="187"/>
      <c r="K1" s="187"/>
      <c r="L1" s="187"/>
      <c r="M1" s="187"/>
      <c r="N1" s="188"/>
      <c r="O1" s="90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191"/>
      <c r="AN1" s="191"/>
      <c r="AO1" s="191"/>
    </row>
    <row r="2" spans="1:43" s="3" customFormat="1" ht="30" customHeight="1">
      <c r="A2" s="192" t="s">
        <v>72</v>
      </c>
      <c r="B2" s="193"/>
      <c r="C2" s="193"/>
      <c r="D2" s="196">
        <v>5</v>
      </c>
      <c r="E2" s="196"/>
      <c r="F2" s="197"/>
      <c r="G2" s="29" t="s">
        <v>3</v>
      </c>
      <c r="H2" s="29" t="s">
        <v>3</v>
      </c>
      <c r="I2" s="28" t="s">
        <v>3</v>
      </c>
      <c r="J2" s="28" t="s">
        <v>3</v>
      </c>
      <c r="K2" s="30" t="s">
        <v>3</v>
      </c>
      <c r="L2" s="28" t="s">
        <v>3</v>
      </c>
      <c r="M2" s="28" t="s">
        <v>3</v>
      </c>
      <c r="N2" s="38"/>
      <c r="P2" s="89"/>
    </row>
    <row r="3" spans="1:43" s="3" customFormat="1" ht="75" customHeight="1">
      <c r="A3" s="194"/>
      <c r="B3" s="195"/>
      <c r="C3" s="195"/>
      <c r="D3" s="198"/>
      <c r="E3" s="198"/>
      <c r="F3" s="199"/>
      <c r="G3" s="27"/>
      <c r="H3" s="27"/>
      <c r="I3" s="26"/>
      <c r="J3" s="26"/>
      <c r="K3" s="31" t="s">
        <v>4</v>
      </c>
      <c r="L3" s="58"/>
      <c r="M3" s="58"/>
      <c r="N3" s="39"/>
      <c r="P3" s="89"/>
    </row>
    <row r="4" spans="1:43" s="3" customFormat="1" ht="39.950000000000003" customHeight="1">
      <c r="A4" s="194"/>
      <c r="B4" s="195"/>
      <c r="C4" s="195"/>
      <c r="D4" s="198"/>
      <c r="E4" s="198"/>
      <c r="F4" s="199"/>
      <c r="G4" s="27" t="s">
        <v>5</v>
      </c>
      <c r="H4" s="27" t="s">
        <v>48</v>
      </c>
      <c r="I4" s="61" t="s">
        <v>6</v>
      </c>
      <c r="J4" s="61" t="s">
        <v>7</v>
      </c>
      <c r="K4" s="62" t="s">
        <v>49</v>
      </c>
      <c r="L4" s="108" t="s">
        <v>50</v>
      </c>
      <c r="M4" s="108" t="s">
        <v>51</v>
      </c>
      <c r="N4" s="39"/>
      <c r="P4" s="89"/>
    </row>
    <row r="5" spans="1:43" s="3" customFormat="1" ht="90" customHeight="1">
      <c r="A5" s="194"/>
      <c r="B5" s="195"/>
      <c r="C5" s="195"/>
      <c r="D5" s="198"/>
      <c r="E5" s="198"/>
      <c r="F5" s="199"/>
      <c r="G5" s="60" t="s">
        <v>52</v>
      </c>
      <c r="H5" s="60" t="s">
        <v>53</v>
      </c>
      <c r="I5" s="61" t="s">
        <v>54</v>
      </c>
      <c r="J5" s="61" t="s">
        <v>55</v>
      </c>
      <c r="K5" s="62" t="s">
        <v>56</v>
      </c>
      <c r="L5" s="61" t="s">
        <v>57</v>
      </c>
      <c r="M5" s="61" t="s">
        <v>58</v>
      </c>
      <c r="N5" s="39"/>
      <c r="O5" s="174" t="s">
        <v>17</v>
      </c>
      <c r="P5" s="89"/>
    </row>
    <row r="6" spans="1:43" s="3" customFormat="1" ht="24.95" customHeight="1" thickBot="1">
      <c r="A6" s="176" t="s">
        <v>18</v>
      </c>
      <c r="B6" s="177"/>
      <c r="C6" s="177"/>
      <c r="D6" s="177"/>
      <c r="E6" s="177"/>
      <c r="F6" s="177"/>
      <c r="G6" s="47"/>
      <c r="H6" s="47"/>
      <c r="I6" s="48"/>
      <c r="J6" s="48"/>
      <c r="K6" s="49"/>
      <c r="L6" s="48"/>
      <c r="M6" s="48"/>
      <c r="N6" s="46"/>
      <c r="O6" s="174"/>
      <c r="P6" s="89"/>
    </row>
    <row r="7" spans="1:43" s="4" customFormat="1" ht="11.25" customHeight="1">
      <c r="A7" s="40" t="s">
        <v>19</v>
      </c>
      <c r="B7" s="41" t="s">
        <v>20</v>
      </c>
      <c r="C7" s="41" t="s">
        <v>21</v>
      </c>
      <c r="D7" s="41" t="s">
        <v>22</v>
      </c>
      <c r="E7" s="41" t="s">
        <v>23</v>
      </c>
      <c r="F7" s="41" t="s">
        <v>24</v>
      </c>
      <c r="G7" s="41" t="s">
        <v>25</v>
      </c>
      <c r="H7" s="42" t="s">
        <v>26</v>
      </c>
      <c r="I7" s="41" t="s">
        <v>27</v>
      </c>
      <c r="J7" s="41" t="s">
        <v>28</v>
      </c>
      <c r="K7" s="41" t="s">
        <v>29</v>
      </c>
      <c r="L7" s="41" t="s">
        <v>30</v>
      </c>
      <c r="M7" s="41" t="s">
        <v>31</v>
      </c>
      <c r="N7" s="43" t="s">
        <v>33</v>
      </c>
      <c r="O7" s="4" t="s">
        <v>34</v>
      </c>
      <c r="P7" s="17" t="s">
        <v>35</v>
      </c>
      <c r="Q7" s="17"/>
      <c r="R7" s="17"/>
    </row>
    <row r="8" spans="1:43" ht="11.25" customHeight="1">
      <c r="A8" s="32"/>
      <c r="B8" s="20">
        <f>IF(drk1mu14[[#This Row],[Name]]="","",_xlfn.RANK.EQ(drk1mu14[[#This Row],[Result]],_xlnm.Criteria,0))</f>
        <v>1</v>
      </c>
      <c r="C8" s="1" t="s">
        <v>83</v>
      </c>
      <c r="D8" s="1" t="s">
        <v>84</v>
      </c>
      <c r="E8" s="2" t="s">
        <v>62</v>
      </c>
      <c r="F8" s="20" t="s">
        <v>39</v>
      </c>
      <c r="G8" s="5">
        <v>0</v>
      </c>
      <c r="H8" s="5">
        <v>12</v>
      </c>
      <c r="I8" s="5">
        <v>0.02</v>
      </c>
      <c r="J8" s="5">
        <v>0.03</v>
      </c>
      <c r="K8" s="5">
        <v>15</v>
      </c>
      <c r="L8" s="5">
        <v>25</v>
      </c>
      <c r="M8" s="5">
        <v>25</v>
      </c>
      <c r="N8" s="33" cm="1">
        <f t="array" ref="N8">SUMPRODUCT(drk1mu14[[#This Row],[1]:[7]]*(drk1mu14[[#This Row],[1]:[7]]&gt;=drk1mu14[[#This Row],[L]]))</f>
        <v>77.03</v>
      </c>
      <c r="O8" s="97">
        <f>IF(drk1mu14[[#This Row],[Name]]="",0,LARGE(drk1mu14[[#This Row],[1]:[7]],$D$2))</f>
        <v>0.03</v>
      </c>
      <c r="P8" s="91" t="str">
        <f>IF(OR((COUNTIFS(drk1mu14[[#This Row],[1]:[7]],"="&amp;drk1mu14[[#This Row],[L]])=6),(COUNTIFS(drk1mu14[[#This Row],[1]:[7]],"="&amp;drk1mu14[[#This Row],[L]])&lt;2)),"OK","Fehler (zu wenig Streicher) [Gleiche Werte jeweils um 0,1 erhöhen]")</f>
        <v>OK</v>
      </c>
      <c r="Q8" s="6"/>
      <c r="R8" s="2"/>
      <c r="S8" s="4"/>
      <c r="AP8" s="1"/>
      <c r="AQ8" s="1"/>
    </row>
    <row r="9" spans="1:43" ht="11.25" customHeight="1">
      <c r="A9" s="32"/>
      <c r="B9" s="20">
        <f>IF(drk1mu14[[#This Row],[Name]]="","",_xlfn.RANK.EQ(drk1mu14[[#This Row],[Result]],_xlnm.Criteria,0))</f>
        <v>2</v>
      </c>
      <c r="C9" s="1" t="s">
        <v>74</v>
      </c>
      <c r="D9" s="1" t="s">
        <v>75</v>
      </c>
      <c r="E9" s="2" t="s">
        <v>76</v>
      </c>
      <c r="F9" s="20" t="s">
        <v>39</v>
      </c>
      <c r="G9" s="5">
        <v>25</v>
      </c>
      <c r="H9" s="5">
        <v>25</v>
      </c>
      <c r="I9" s="5">
        <v>0.02</v>
      </c>
      <c r="J9" s="5">
        <v>0.03</v>
      </c>
      <c r="K9" s="5">
        <v>20</v>
      </c>
      <c r="L9" s="5">
        <v>0.05</v>
      </c>
      <c r="M9" s="5">
        <v>0.06</v>
      </c>
      <c r="N9" s="33" cm="1">
        <f t="array" ref="N9">SUMPRODUCT(drk1mu14[[#This Row],[1]:[7]]*(drk1mu14[[#This Row],[1]:[7]]&gt;=drk1mu14[[#This Row],[L]]))</f>
        <v>70.11</v>
      </c>
      <c r="O9" s="96">
        <f>IF(drk1mu14[[#This Row],[Name]]="",0,LARGE(drk1mu14[[#This Row],[1]:[7]],$D$2))</f>
        <v>0.05</v>
      </c>
      <c r="P9" s="91" t="str">
        <f>IF(OR((COUNTIFS(drk1mu14[[#This Row],[1]:[7]],"="&amp;drk1mu14[[#This Row],[L]])=6),(COUNTIFS(drk1mu14[[#This Row],[1]:[7]],"="&amp;drk1mu14[[#This Row],[L]])&lt;2)),"OK","Fehler (zu wenig Streicher) [Gleiche Werte jeweils um 0,1 erhöhen]")</f>
        <v>OK</v>
      </c>
      <c r="R9" s="2"/>
      <c r="AP9" s="1"/>
      <c r="AQ9" s="1"/>
    </row>
    <row r="10" spans="1:43" ht="11.25" customHeight="1">
      <c r="A10" s="32"/>
      <c r="B10" s="20">
        <f>IF(drk1mu14[[#This Row],[Name]]="","",_xlfn.RANK.EQ(drk1mu14[[#This Row],[Result]],_xlnm.Criteria,0))</f>
        <v>3</v>
      </c>
      <c r="C10" s="1" t="s">
        <v>87</v>
      </c>
      <c r="D10" s="1" t="s">
        <v>45</v>
      </c>
      <c r="E10" s="2" t="s">
        <v>62</v>
      </c>
      <c r="F10" s="20" t="s">
        <v>39</v>
      </c>
      <c r="G10" s="5">
        <v>0</v>
      </c>
      <c r="H10" s="5">
        <v>15</v>
      </c>
      <c r="I10" s="5">
        <v>0.02</v>
      </c>
      <c r="J10" s="5">
        <v>0.03</v>
      </c>
      <c r="K10" s="5">
        <v>11</v>
      </c>
      <c r="L10" s="5">
        <v>20</v>
      </c>
      <c r="M10" s="5">
        <v>20</v>
      </c>
      <c r="N10" s="33" cm="1">
        <f t="array" ref="N10">SUMPRODUCT(drk1mu14[[#This Row],[1]:[7]]*(drk1mu14[[#This Row],[1]:[7]]&gt;=drk1mu14[[#This Row],[L]]))</f>
        <v>66.03</v>
      </c>
      <c r="O10" s="97">
        <f>IF(drk1mu14[[#This Row],[Name]]="",0,LARGE(drk1mu14[[#This Row],[1]:[7]],$D$2))</f>
        <v>0.03</v>
      </c>
      <c r="P10" s="91" t="str">
        <f>IF(OR((COUNTIFS(drk1mu14[[#This Row],[1]:[7]],"="&amp;drk1mu14[[#This Row],[L]])=6),(COUNTIFS(drk1mu14[[#This Row],[1]:[7]],"="&amp;drk1mu14[[#This Row],[L]])&lt;2)),"OK","Fehler (zu wenig Streicher) [Gleiche Werte jeweils um 0,1 erhöhen]")</f>
        <v>OK</v>
      </c>
      <c r="Q10" s="6"/>
      <c r="R10" s="2"/>
      <c r="AP10" s="1"/>
      <c r="AQ10" s="1"/>
    </row>
    <row r="11" spans="1:43" ht="11.25" customHeight="1">
      <c r="A11" s="32"/>
      <c r="B11" s="20">
        <f>IF(drk1mu14[[#This Row],[Name]]="","",_xlfn.RANK.EQ(drk1mu14[[#This Row],[Result]],_xlnm.Criteria,0))</f>
        <v>4</v>
      </c>
      <c r="C11" s="1" t="s">
        <v>88</v>
      </c>
      <c r="D11" s="1" t="s">
        <v>84</v>
      </c>
      <c r="E11" s="2" t="s">
        <v>62</v>
      </c>
      <c r="F11" s="20" t="s">
        <v>39</v>
      </c>
      <c r="G11" s="5">
        <v>0</v>
      </c>
      <c r="H11" s="5">
        <v>20</v>
      </c>
      <c r="I11" s="5">
        <v>0.02</v>
      </c>
      <c r="J11" s="5">
        <v>0.03</v>
      </c>
      <c r="K11" s="5">
        <v>12</v>
      </c>
      <c r="L11" s="5">
        <v>15</v>
      </c>
      <c r="M11" s="5">
        <v>15</v>
      </c>
      <c r="N11" s="33" cm="1">
        <f t="array" ref="N11">SUMPRODUCT(drk1mu14[[#This Row],[1]:[7]]*(drk1mu14[[#This Row],[1]:[7]]&gt;=drk1mu14[[#This Row],[L]]))</f>
        <v>62.03</v>
      </c>
      <c r="O11" s="97">
        <f>IF(drk1mu14[[#This Row],[Name]]="",0,LARGE(drk1mu14[[#This Row],[1]:[7]],$D$2))</f>
        <v>0.03</v>
      </c>
      <c r="P11" s="91" t="str">
        <f>IF(OR((COUNTIFS(drk1mu14[[#This Row],[1]:[7]],"="&amp;drk1mu14[[#This Row],[L]])=6),(COUNTIFS(drk1mu14[[#This Row],[1]:[7]],"="&amp;drk1mu14[[#This Row],[L]])&lt;2)),"OK","Fehler (zu wenig Streicher) [Gleiche Werte jeweils um 0,1 erhöhen]")</f>
        <v>OK</v>
      </c>
      <c r="R11" s="2"/>
      <c r="AP11" s="1"/>
      <c r="AQ11" s="1"/>
    </row>
    <row r="12" spans="1:43" ht="11.25" customHeight="1">
      <c r="A12" s="32"/>
      <c r="B12" s="20">
        <f>IF(drk1mu14[[#This Row],[Name]]="","",_xlfn.RANK.EQ(drk1mu14[[#This Row],[Result]],_xlnm.Criteria,0))</f>
        <v>5</v>
      </c>
      <c r="C12" s="1" t="s">
        <v>77</v>
      </c>
      <c r="D12" s="1" t="s">
        <v>78</v>
      </c>
      <c r="E12" s="2" t="s">
        <v>79</v>
      </c>
      <c r="F12" s="2" t="s">
        <v>39</v>
      </c>
      <c r="G12" s="5">
        <v>0</v>
      </c>
      <c r="H12" s="5">
        <v>0</v>
      </c>
      <c r="I12" s="5">
        <v>0.02</v>
      </c>
      <c r="J12" s="5">
        <v>25</v>
      </c>
      <c r="K12" s="5">
        <v>25</v>
      </c>
      <c r="L12" s="5">
        <v>0.05</v>
      </c>
      <c r="M12" s="5">
        <v>0.05</v>
      </c>
      <c r="N12" s="33" cm="1">
        <f t="array" ref="N12">SUMPRODUCT(drk1mu14[[#This Row],[1]:[7]]*(drk1mu14[[#This Row],[1]:[7]]&gt;=drk1mu14[[#This Row],[L]]))</f>
        <v>50.11999999999999</v>
      </c>
      <c r="O12" s="97">
        <f>IF(drk1mu14[[#This Row],[Name]]="",0,LARGE(drk1mu14[[#This Row],[1]:[7]],$D$2))</f>
        <v>0.02</v>
      </c>
      <c r="P12" s="91" t="str">
        <f>IF(OR((COUNTIFS(drk1mu14[[#This Row],[1]:[7]],"="&amp;drk1mu14[[#This Row],[L]])=6),(COUNTIFS(drk1mu14[[#This Row],[1]:[7]],"="&amp;drk1mu14[[#This Row],[L]])&lt;2)),"OK","Fehler (zu wenig Streicher) [Gleiche Werte jeweils um 0,1 erhöhen]")</f>
        <v>OK</v>
      </c>
      <c r="R12" s="18"/>
      <c r="AP12" s="1"/>
      <c r="AQ12" s="1"/>
    </row>
    <row r="13" spans="1:43" ht="11.25" customHeight="1">
      <c r="A13" s="32"/>
      <c r="B13" s="20">
        <f>IF(drk1mu14[[#This Row],[Name]]="","",_xlfn.RANK.EQ(drk1mu14[[#This Row],[Result]],_xlnm.Criteria,0))</f>
        <v>6</v>
      </c>
      <c r="C13" s="1" t="s">
        <v>89</v>
      </c>
      <c r="D13" s="1" t="s">
        <v>90</v>
      </c>
      <c r="E13" s="2" t="s">
        <v>91</v>
      </c>
      <c r="F13" s="20" t="s">
        <v>39</v>
      </c>
      <c r="G13" s="5">
        <v>0</v>
      </c>
      <c r="H13" s="5">
        <v>11</v>
      </c>
      <c r="I13" s="5">
        <v>0.02</v>
      </c>
      <c r="J13" s="5">
        <v>0.03</v>
      </c>
      <c r="K13" s="5">
        <v>10</v>
      </c>
      <c r="L13" s="5">
        <v>0.05</v>
      </c>
      <c r="M13" s="5">
        <v>12</v>
      </c>
      <c r="N13" s="33" cm="1">
        <f t="array" ref="N13">SUMPRODUCT(drk1mu14[[#This Row],[1]:[7]]*(drk1mu14[[#This Row],[1]:[7]]&gt;=drk1mu14[[#This Row],[L]]))</f>
        <v>33.08</v>
      </c>
      <c r="O13" s="97">
        <f>IF(drk1mu14[[#This Row],[Name]]="",0,LARGE(drk1mu14[[#This Row],[1]:[7]],$D$2))</f>
        <v>0.03</v>
      </c>
      <c r="P13" s="91" t="str">
        <f>IF(OR((COUNTIFS(drk1mu14[[#This Row],[1]:[7]],"="&amp;drk1mu14[[#This Row],[L]])=6),(COUNTIFS(drk1mu14[[#This Row],[1]:[7]],"="&amp;drk1mu14[[#This Row],[L]])&lt;2)),"OK","Fehler (zu wenig Streicher) [Gleiche Werte jeweils um 0,1 erhöhen]")</f>
        <v>OK</v>
      </c>
      <c r="R13" s="18"/>
      <c r="AP13" s="1"/>
      <c r="AQ13" s="1"/>
    </row>
    <row r="14" spans="1:43" ht="11.25" customHeight="1">
      <c r="A14" s="32"/>
      <c r="B14" s="20" t="str">
        <f>IF(drk1mu14[[#This Row],[Name]]="","",_xlfn.RANK.EQ(drk1mu14[[#This Row],[Result]],_xlnm.Criteria,0))</f>
        <v/>
      </c>
      <c r="E14" s="2"/>
      <c r="G14" s="5">
        <v>0</v>
      </c>
      <c r="H14" s="5">
        <v>0.01</v>
      </c>
      <c r="I14" s="5">
        <v>0.02</v>
      </c>
      <c r="J14" s="5">
        <v>0.03</v>
      </c>
      <c r="K14" s="5">
        <v>0.04</v>
      </c>
      <c r="L14" s="5">
        <v>0.05</v>
      </c>
      <c r="M14" s="5">
        <v>0.06</v>
      </c>
      <c r="N14" s="33" cm="1">
        <f t="array" ref="N14">SUMPRODUCT(drk1mu14[[#This Row],[1]:[7]]*(drk1mu14[[#This Row],[1]:[7]]&gt;=drk1mu14[[#This Row],[L]]))</f>
        <v>0.21000000000000002</v>
      </c>
      <c r="O14" s="170">
        <f>IF(drk1mu14[[#This Row],[Name]]="",0,LARGE(drk1mu14[[#This Row],[1]:[7]],$D$2))</f>
        <v>0</v>
      </c>
      <c r="P14" s="91" t="str">
        <f>IF(OR((COUNTIFS(drk1mu14[[#This Row],[1]:[7]],"="&amp;drk1mu14[[#This Row],[L]])=6),(COUNTIFS(drk1mu14[[#This Row],[1]:[7]],"="&amp;drk1mu14[[#This Row],[L]])&lt;2)),"OK","Fehler (zu wenig Streicher) [Gleiche Werte jeweils um 0,1 erhöhen]")</f>
        <v>OK</v>
      </c>
      <c r="R14" s="18"/>
      <c r="AP14" s="1"/>
      <c r="AQ14" s="1"/>
    </row>
    <row r="15" spans="1:43" ht="11.25" customHeight="1">
      <c r="A15" s="32"/>
      <c r="B15" s="20" t="str">
        <f>IF(drk1mu14[[#This Row],[Name]]="","",_xlfn.RANK.EQ(drk1mu14[[#This Row],[Result]],_xlnm.Criteria,0))</f>
        <v/>
      </c>
      <c r="E15" s="2"/>
      <c r="G15" s="5">
        <v>0</v>
      </c>
      <c r="H15" s="5">
        <v>0.01</v>
      </c>
      <c r="I15" s="5">
        <v>0.02</v>
      </c>
      <c r="J15" s="5">
        <v>0.03</v>
      </c>
      <c r="K15" s="5">
        <v>0.04</v>
      </c>
      <c r="L15" s="5">
        <v>0.05</v>
      </c>
      <c r="M15" s="5">
        <v>0.06</v>
      </c>
      <c r="N15" s="33" cm="1">
        <f t="array" ref="N15">SUMPRODUCT(drk1mu14[[#This Row],[1]:[7]]*(drk1mu14[[#This Row],[1]:[7]]&gt;=drk1mu14[[#This Row],[L]]))</f>
        <v>0.21000000000000002</v>
      </c>
      <c r="O15" s="170">
        <f>IF(drk1mu14[[#This Row],[Name]]="",0,LARGE(drk1mu14[[#This Row],[1]:[7]],$D$2))</f>
        <v>0</v>
      </c>
      <c r="P15" s="91" t="str">
        <f>IF(OR((COUNTIFS(drk1mu14[[#This Row],[1]:[7]],"="&amp;drk1mu14[[#This Row],[L]])=6),(COUNTIFS(drk1mu14[[#This Row],[1]:[7]],"="&amp;drk1mu14[[#This Row],[L]])&lt;2)),"OK","Fehler (zu wenig Streicher) [Gleiche Werte jeweils um 0,1 erhöhen]")</f>
        <v>OK</v>
      </c>
      <c r="R15" s="18"/>
      <c r="AP15" s="1"/>
      <c r="AQ15" s="1"/>
    </row>
    <row r="16" spans="1:43" ht="11.25" customHeight="1">
      <c r="A16" s="32"/>
      <c r="B16" s="20" t="str">
        <f>IF(drk1mu14[[#This Row],[Name]]="","",_xlfn.RANK.EQ(drk1mu14[[#This Row],[Result]],_xlnm.Criteria,0))</f>
        <v/>
      </c>
      <c r="E16" s="2"/>
      <c r="G16" s="5">
        <v>0</v>
      </c>
      <c r="H16" s="5">
        <v>0.01</v>
      </c>
      <c r="I16" s="5">
        <v>0.02</v>
      </c>
      <c r="J16" s="5">
        <v>0.03</v>
      </c>
      <c r="K16" s="5">
        <v>0.04</v>
      </c>
      <c r="L16" s="5">
        <v>0.05</v>
      </c>
      <c r="M16" s="5">
        <v>0.06</v>
      </c>
      <c r="N16" s="33" cm="1">
        <f t="array" ref="N16">SUMPRODUCT(drk1mu14[[#This Row],[1]:[7]]*(drk1mu14[[#This Row],[1]:[7]]&gt;=drk1mu14[[#This Row],[L]]))</f>
        <v>0.21000000000000002</v>
      </c>
      <c r="O16" s="170">
        <f>IF(drk1mu14[[#This Row],[Name]]="",0,LARGE(drk1mu14[[#This Row],[1]:[7]],$D$2))</f>
        <v>0</v>
      </c>
      <c r="P16" s="91" t="str">
        <f>IF(OR((COUNTIFS(drk1mu14[[#This Row],[1]:[7]],"="&amp;drk1mu14[[#This Row],[L]])=6),(COUNTIFS(drk1mu14[[#This Row],[1]:[7]],"="&amp;drk1mu14[[#This Row],[L]])&lt;2)),"OK","Fehler (zu wenig Streicher) [Gleiche Werte jeweils um 0,1 erhöhen]")</f>
        <v>OK</v>
      </c>
      <c r="R16" s="18"/>
      <c r="AP16" s="1"/>
      <c r="AQ16" s="1"/>
    </row>
    <row r="17" spans="1:44" ht="11.25" customHeight="1">
      <c r="A17" s="32"/>
      <c r="B17" s="20" t="str">
        <f>IF(drk1mu14[[#This Row],[Name]]="","",_xlfn.RANK.EQ(drk1mu14[[#This Row],[Result]],_xlnm.Criteria,0))</f>
        <v/>
      </c>
      <c r="E17" s="2"/>
      <c r="G17" s="5">
        <v>0</v>
      </c>
      <c r="H17" s="5">
        <v>0.01</v>
      </c>
      <c r="I17" s="5">
        <v>0.02</v>
      </c>
      <c r="J17" s="5">
        <v>0.03</v>
      </c>
      <c r="K17" s="5">
        <v>0.04</v>
      </c>
      <c r="L17" s="5">
        <v>0.05</v>
      </c>
      <c r="M17" s="5">
        <v>0.06</v>
      </c>
      <c r="N17" s="33" cm="1">
        <f t="array" ref="N17">SUMPRODUCT(drk1mu14[[#This Row],[1]:[7]]*(drk1mu14[[#This Row],[1]:[7]]&gt;=drk1mu14[[#This Row],[L]]))</f>
        <v>0.21000000000000002</v>
      </c>
      <c r="O17" s="170">
        <f>IF(drk1mu14[[#This Row],[Name]]="",0,LARGE(drk1mu14[[#This Row],[1]:[7]],$D$2))</f>
        <v>0</v>
      </c>
      <c r="P17" s="91" t="str">
        <f>IF(OR((COUNTIFS(drk1mu14[[#This Row],[1]:[7]],"="&amp;drk1mu14[[#This Row],[L]])=6),(COUNTIFS(drk1mu14[[#This Row],[1]:[7]],"="&amp;drk1mu14[[#This Row],[L]])&lt;2)),"OK","Fehler (zu wenig Streicher) [Gleiche Werte jeweils um 0,1 erhöhen]")</f>
        <v>OK</v>
      </c>
      <c r="R17" s="18"/>
      <c r="AP17" s="1"/>
      <c r="AQ17" s="1"/>
    </row>
    <row r="18" spans="1:44" ht="11.25" customHeight="1">
      <c r="A18" s="32"/>
      <c r="B18" s="20" t="str">
        <f>IF(drk1mu14[[#This Row],[Name]]="","",_xlfn.RANK.EQ(drk1mu14[[#This Row],[Result]],_xlnm.Criteria,0))</f>
        <v/>
      </c>
      <c r="E18" s="2"/>
      <c r="G18" s="5">
        <v>0</v>
      </c>
      <c r="H18" s="5">
        <v>0.01</v>
      </c>
      <c r="I18" s="5">
        <v>0.02</v>
      </c>
      <c r="J18" s="5">
        <v>0.03</v>
      </c>
      <c r="K18" s="5">
        <v>0.04</v>
      </c>
      <c r="L18" s="5">
        <v>0.05</v>
      </c>
      <c r="M18" s="5">
        <v>0.06</v>
      </c>
      <c r="N18" s="33" cm="1">
        <f t="array" ref="N18">SUMPRODUCT(drk1mu14[[#This Row],[1]:[7]]*(drk1mu14[[#This Row],[1]:[7]]&gt;=drk1mu14[[#This Row],[L]]))</f>
        <v>0.21000000000000002</v>
      </c>
      <c r="O18" s="170">
        <f>IF(drk1mu14[[#This Row],[Name]]="",0,LARGE(drk1mu14[[#This Row],[1]:[7]],$D$2))</f>
        <v>0</v>
      </c>
      <c r="P18" s="91" t="str">
        <f>IF(OR((COUNTIFS(drk1mu14[[#This Row],[1]:[7]],"="&amp;drk1mu14[[#This Row],[L]])=6),(COUNTIFS(drk1mu14[[#This Row],[1]:[7]],"="&amp;drk1mu14[[#This Row],[L]])&lt;2)),"OK","Fehler (zu wenig Streicher) [Gleiche Werte jeweils um 0,1 erhöhen]")</f>
        <v>OK</v>
      </c>
      <c r="R18" s="18"/>
      <c r="AP18" s="1"/>
      <c r="AQ18" s="1"/>
    </row>
    <row r="19" spans="1:44" ht="11.25" customHeight="1">
      <c r="A19" s="32"/>
      <c r="B19" s="20" t="str">
        <f>IF(drk1mu14[[#This Row],[Name]]="","",_xlfn.RANK.EQ(drk1mu14[[#This Row],[Result]],_xlnm.Criteria,0))</f>
        <v/>
      </c>
      <c r="E19" s="2"/>
      <c r="G19" s="5">
        <v>0</v>
      </c>
      <c r="H19" s="5">
        <v>0.01</v>
      </c>
      <c r="I19" s="5">
        <v>0.02</v>
      </c>
      <c r="J19" s="5">
        <v>0.03</v>
      </c>
      <c r="K19" s="5">
        <v>0.04</v>
      </c>
      <c r="L19" s="5">
        <v>0.05</v>
      </c>
      <c r="M19" s="5">
        <v>0.06</v>
      </c>
      <c r="N19" s="33" cm="1">
        <f t="array" ref="N19">SUMPRODUCT(drk1mu14[[#This Row],[1]:[7]]*(drk1mu14[[#This Row],[1]:[7]]&gt;=drk1mu14[[#This Row],[L]]))</f>
        <v>0.21000000000000002</v>
      </c>
      <c r="O19" s="170">
        <f>IF(drk1mu14[[#This Row],[Name]]="",0,LARGE(drk1mu14[[#This Row],[1]:[7]],$D$2))</f>
        <v>0</v>
      </c>
      <c r="P19" s="91" t="str">
        <f>IF(OR((COUNTIFS(drk1mu14[[#This Row],[1]:[7]],"="&amp;drk1mu14[[#This Row],[L]])=6),(COUNTIFS(drk1mu14[[#This Row],[1]:[7]],"="&amp;drk1mu14[[#This Row],[L]])&lt;2)),"OK","Fehler (zu wenig Streicher) [Gleiche Werte jeweils um 0,1 erhöhen]")</f>
        <v>OK</v>
      </c>
      <c r="R19" s="18"/>
      <c r="AP19" s="1"/>
      <c r="AQ19" s="1"/>
    </row>
    <row r="20" spans="1:44" ht="11.25" customHeight="1">
      <c r="A20" s="32"/>
      <c r="B20" s="20" t="str">
        <f>IF(drk1mu14[[#This Row],[Name]]="","",_xlfn.RANK.EQ(drk1mu14[[#This Row],[Result]],_xlnm.Criteria,0))</f>
        <v/>
      </c>
      <c r="E20" s="2"/>
      <c r="G20" s="5">
        <v>0</v>
      </c>
      <c r="H20" s="5">
        <v>0.01</v>
      </c>
      <c r="I20" s="5">
        <v>0.02</v>
      </c>
      <c r="J20" s="5">
        <v>0.03</v>
      </c>
      <c r="K20" s="5">
        <v>0.04</v>
      </c>
      <c r="L20" s="5">
        <v>0.05</v>
      </c>
      <c r="M20" s="5">
        <v>0.06</v>
      </c>
      <c r="N20" s="33" cm="1">
        <f t="array" ref="N20">SUMPRODUCT(drk1mu14[[#This Row],[1]:[7]]*(drk1mu14[[#This Row],[1]:[7]]&gt;=drk1mu14[[#This Row],[L]]))</f>
        <v>0.21000000000000002</v>
      </c>
      <c r="O20" s="170">
        <f>IF(drk1mu14[[#This Row],[Name]]="",0,LARGE(drk1mu14[[#This Row],[1]:[7]],$D$2))</f>
        <v>0</v>
      </c>
      <c r="P20" s="91" t="str">
        <f>IF(OR((COUNTIFS(drk1mu14[[#This Row],[1]:[7]],"="&amp;drk1mu14[[#This Row],[L]])=6),(COUNTIFS(drk1mu14[[#This Row],[1]:[7]],"="&amp;drk1mu14[[#This Row],[L]])&lt;2)),"OK","Fehler (zu wenig Streicher) [Gleiche Werte jeweils um 0,1 erhöhen]")</f>
        <v>OK</v>
      </c>
      <c r="R20" s="18"/>
      <c r="AP20" s="1"/>
      <c r="AQ20" s="1"/>
    </row>
    <row r="21" spans="1:44" ht="11.25" customHeight="1">
      <c r="A21" s="32"/>
      <c r="B21" s="20" t="str">
        <f>IF(drk1mu14[[#This Row],[Name]]="","",_xlfn.RANK.EQ(drk1mu14[[#This Row],[Result]],_xlnm.Criteria,0))</f>
        <v/>
      </c>
      <c r="E21" s="2"/>
      <c r="G21" s="5">
        <v>0</v>
      </c>
      <c r="H21" s="5">
        <v>0.01</v>
      </c>
      <c r="I21" s="5">
        <v>0.02</v>
      </c>
      <c r="J21" s="5">
        <v>0.03</v>
      </c>
      <c r="K21" s="5">
        <v>0.04</v>
      </c>
      <c r="L21" s="5">
        <v>0.05</v>
      </c>
      <c r="M21" s="5">
        <v>0.06</v>
      </c>
      <c r="N21" s="33" cm="1">
        <f t="array" ref="N21">SUMPRODUCT(drk1mu14[[#This Row],[1]:[7]]*(drk1mu14[[#This Row],[1]:[7]]&gt;=drk1mu14[[#This Row],[L]]))</f>
        <v>0.21000000000000002</v>
      </c>
      <c r="O21" s="170">
        <f>IF(drk1mu14[[#This Row],[Name]]="",0,LARGE(drk1mu14[[#This Row],[1]:[7]],$D$2))</f>
        <v>0</v>
      </c>
      <c r="P21" s="91" t="str">
        <f>IF(OR((COUNTIFS(drk1mu14[[#This Row],[1]:[7]],"="&amp;drk1mu14[[#This Row],[L]])=6),(COUNTIFS(drk1mu14[[#This Row],[1]:[7]],"="&amp;drk1mu14[[#This Row],[L]])&lt;2)),"OK","Fehler (zu wenig Streicher) [Gleiche Werte jeweils um 0,1 erhöhen]")</f>
        <v>OK</v>
      </c>
      <c r="R21" s="18"/>
      <c r="AP21" s="1"/>
      <c r="AQ21" s="1"/>
    </row>
    <row r="22" spans="1:44" ht="11.25" customHeight="1">
      <c r="A22" s="32"/>
      <c r="B22" s="20" t="str">
        <f>IF(drk1mu14[[#This Row],[Name]]="","",_xlfn.RANK.EQ(drk1mu14[[#This Row],[Result]],_xlnm.Criteria,0))</f>
        <v/>
      </c>
      <c r="E22" s="2"/>
      <c r="G22" s="5">
        <v>0</v>
      </c>
      <c r="H22" s="5">
        <v>0.01</v>
      </c>
      <c r="I22" s="5">
        <v>0.02</v>
      </c>
      <c r="J22" s="5">
        <v>0.03</v>
      </c>
      <c r="K22" s="5">
        <v>0.04</v>
      </c>
      <c r="L22" s="5">
        <v>0.05</v>
      </c>
      <c r="M22" s="5">
        <v>0.06</v>
      </c>
      <c r="N22" s="33" cm="1">
        <f t="array" ref="N22">SUMPRODUCT(drk1mu14[[#This Row],[1]:[7]]*(drk1mu14[[#This Row],[1]:[7]]&gt;=drk1mu14[[#This Row],[L]]))</f>
        <v>0.21000000000000002</v>
      </c>
      <c r="O22" s="170">
        <f>IF(drk1mu14[[#This Row],[Name]]="",0,LARGE(drk1mu14[[#This Row],[1]:[7]],$D$2))</f>
        <v>0</v>
      </c>
      <c r="P22" s="91" t="str">
        <f>IF(OR((COUNTIFS(drk1mu14[[#This Row],[1]:[7]],"="&amp;drk1mu14[[#This Row],[L]])=6),(COUNTIFS(drk1mu14[[#This Row],[1]:[7]],"="&amp;drk1mu14[[#This Row],[L]])&lt;2)),"OK","Fehler (zu wenig Streicher) [Gleiche Werte jeweils um 0,1 erhöhen]")</f>
        <v>OK</v>
      </c>
      <c r="R22" s="18"/>
      <c r="AP22" s="1"/>
      <c r="AQ22" s="1"/>
    </row>
    <row r="23" spans="1:44" ht="11.25" customHeight="1">
      <c r="A23" s="32"/>
      <c r="B23" s="20" t="str">
        <f>IF(drk1mu14[[#This Row],[Name]]="","",_xlfn.RANK.EQ(drk1mu14[[#This Row],[Result]],_xlnm.Criteria,0))</f>
        <v/>
      </c>
      <c r="E23" s="2"/>
      <c r="G23" s="5">
        <v>0</v>
      </c>
      <c r="H23" s="5">
        <v>0.01</v>
      </c>
      <c r="I23" s="5">
        <v>0.02</v>
      </c>
      <c r="J23" s="5">
        <v>0.03</v>
      </c>
      <c r="K23" s="5">
        <v>0.04</v>
      </c>
      <c r="L23" s="5">
        <v>0.05</v>
      </c>
      <c r="M23" s="5">
        <v>0.06</v>
      </c>
      <c r="N23" s="33" cm="1">
        <f t="array" ref="N23">SUMPRODUCT(drk1mu14[[#This Row],[1]:[7]]*(drk1mu14[[#This Row],[1]:[7]]&gt;=drk1mu14[[#This Row],[L]]))</f>
        <v>0.21000000000000002</v>
      </c>
      <c r="O23" s="170">
        <f>IF(drk1mu14[[#This Row],[Name]]="",0,LARGE(drk1mu14[[#This Row],[1]:[7]],$D$2))</f>
        <v>0</v>
      </c>
      <c r="P23" s="91" t="str">
        <f>IF(OR((COUNTIFS(drk1mu14[[#This Row],[1]:[7]],"="&amp;drk1mu14[[#This Row],[L]])=6),(COUNTIFS(drk1mu14[[#This Row],[1]:[7]],"="&amp;drk1mu14[[#This Row],[L]])&lt;2)),"OK","Fehler (zu wenig Streicher) [Gleiche Werte jeweils um 0,1 erhöhen]")</f>
        <v>OK</v>
      </c>
      <c r="R23" s="18"/>
      <c r="AP23" s="1"/>
      <c r="AQ23" s="1"/>
    </row>
    <row r="26" spans="1:44" ht="15" customHeight="1">
      <c r="O26" s="174" t="s">
        <v>17</v>
      </c>
      <c r="P26" s="17"/>
      <c r="AP26" s="1"/>
      <c r="AR26" s="4"/>
    </row>
    <row r="27" spans="1:44" ht="24.95" customHeight="1" thickBot="1">
      <c r="A27" s="176" t="s">
        <v>40</v>
      </c>
      <c r="B27" s="177"/>
      <c r="C27" s="177"/>
      <c r="D27" s="177"/>
      <c r="E27" s="177"/>
      <c r="F27" s="177"/>
      <c r="G27" s="47"/>
      <c r="H27" s="47"/>
      <c r="I27" s="48"/>
      <c r="J27" s="48"/>
      <c r="K27" s="49"/>
      <c r="L27" s="48"/>
      <c r="M27" s="48"/>
      <c r="N27" s="107"/>
      <c r="O27" s="174"/>
      <c r="P27" s="17"/>
      <c r="AP27" s="1"/>
      <c r="AR27" s="4"/>
    </row>
    <row r="28" spans="1:44">
      <c r="A28" s="83" t="s">
        <v>19</v>
      </c>
      <c r="B28" s="4" t="s">
        <v>20</v>
      </c>
      <c r="C28" s="4" t="s">
        <v>21</v>
      </c>
      <c r="D28" s="4" t="s">
        <v>22</v>
      </c>
      <c r="E28" s="4" t="s">
        <v>23</v>
      </c>
      <c r="F28" s="4" t="s">
        <v>24</v>
      </c>
      <c r="G28" s="4" t="s">
        <v>25</v>
      </c>
      <c r="H28" s="63" t="s">
        <v>26</v>
      </c>
      <c r="I28" s="4" t="s">
        <v>27</v>
      </c>
      <c r="J28" s="4" t="s">
        <v>28</v>
      </c>
      <c r="K28" s="4" t="s">
        <v>29</v>
      </c>
      <c r="L28" s="4" t="s">
        <v>30</v>
      </c>
      <c r="M28" s="4" t="s">
        <v>31</v>
      </c>
      <c r="N28" s="148" t="s">
        <v>33</v>
      </c>
      <c r="O28" s="83" t="s">
        <v>34</v>
      </c>
      <c r="P28" s="17" t="s">
        <v>35</v>
      </c>
      <c r="AP28" s="1"/>
      <c r="AR28" s="4"/>
    </row>
    <row r="29" spans="1:44">
      <c r="A29" s="32"/>
      <c r="B29" s="20">
        <f>IF(drk1wu14[[#This Row],[Name]]="","",_xlfn.RANK.EQ(drk1wu14[[#This Row],[Result]],drk1wu14[Result],0))</f>
        <v>1</v>
      </c>
      <c r="C29" s="1" t="s">
        <v>92</v>
      </c>
      <c r="D29" s="1" t="s">
        <v>93</v>
      </c>
      <c r="E29" s="2" t="s">
        <v>94</v>
      </c>
      <c r="F29" s="20" t="s">
        <v>39</v>
      </c>
      <c r="G29" s="5">
        <v>0.1</v>
      </c>
      <c r="H29" s="5">
        <v>0.01</v>
      </c>
      <c r="I29" s="5">
        <v>0.02</v>
      </c>
      <c r="J29" s="5">
        <v>0.03</v>
      </c>
      <c r="K29" s="5">
        <v>0.04</v>
      </c>
      <c r="L29" s="5">
        <v>0.05</v>
      </c>
      <c r="M29" s="5">
        <v>0.06</v>
      </c>
      <c r="N29" s="33">
        <f>SUMPRODUCT(drk1wu14[[#This Row],[1]:[6]]*(drk1wu14[[#This Row],[1]:[6]]&gt;=drk1wu14[[#This Row],[L]]))</f>
        <v>0.22000000000000003</v>
      </c>
      <c r="O29" s="96">
        <f>IF(drk1wu14[[#This Row],[Name]]="",0,LARGE(drk1wu14[[#This Row],[1]:[7]],$D$2))</f>
        <v>0.03</v>
      </c>
      <c r="P29" s="91" t="str">
        <f>IF(OR((COUNTIFS(drk1wu14[[#This Row],[1]:[6]],"="&amp;drk1wu14[[#This Row],[L]])=6),(COUNTIFS(drk1wu14[[#This Row],[1]:[6]],"="&amp;drk1wu14[[#This Row],[L]])&lt;2)),"OK","Fehler (zu wenig Streicher) [Gleiche Werte jeweils um 0,1 erhöhen]")</f>
        <v>OK</v>
      </c>
      <c r="AP29" s="1"/>
      <c r="AR29" s="4"/>
    </row>
    <row r="30" spans="1:44">
      <c r="A30" s="32"/>
      <c r="B30" s="20" t="str">
        <f>IF(drk1wu14[[#This Row],[Name]]="","",_xlfn.RANK.EQ(drk1wu14[[#This Row],[Result]],drk1wu14[Result],0))</f>
        <v/>
      </c>
      <c r="E30" s="2"/>
      <c r="F30" s="20"/>
      <c r="G30" s="5">
        <v>0</v>
      </c>
      <c r="H30" s="5">
        <v>0.01</v>
      </c>
      <c r="I30" s="5">
        <v>0.02</v>
      </c>
      <c r="J30" s="5">
        <v>0.03</v>
      </c>
      <c r="K30" s="5">
        <v>0.04</v>
      </c>
      <c r="L30" s="5">
        <v>0.05</v>
      </c>
      <c r="M30" s="5">
        <v>0.06</v>
      </c>
      <c r="N30" s="33">
        <f>SUMPRODUCT(drk1wu14[[#This Row],[1]:[6]]*(drk1wu14[[#This Row],[1]:[6]]&gt;=drk1wu14[[#This Row],[L]]))</f>
        <v>0.15000000000000002</v>
      </c>
      <c r="O30" s="96">
        <f>IF(drk1wu14[[#This Row],[Name]]="",0,LARGE(drk1wu14[[#This Row],[1]:[7]],$D$2))</f>
        <v>0</v>
      </c>
      <c r="P30" s="91" t="str">
        <f>IF(OR((COUNTIFS(drk1wu14[[#This Row],[1]:[6]],"="&amp;drk1wu14[[#This Row],[L]])=6),(COUNTIFS(drk1wu14[[#This Row],[1]:[6]],"="&amp;drk1wu14[[#This Row],[L]])&lt;2)),"OK","Fehler (zu wenig Streicher) [Gleiche Werte jeweils um 0,1 erhöhen]")</f>
        <v>OK</v>
      </c>
      <c r="AP30" s="1"/>
      <c r="AR30" s="4"/>
    </row>
    <row r="31" spans="1:44">
      <c r="A31" s="32"/>
      <c r="B31" s="20" t="str">
        <f>IF(drk1wu14[[#This Row],[Name]]="","",_xlfn.RANK.EQ(drk1wu14[[#This Row],[Result]],drk1wu14[Result],0))</f>
        <v/>
      </c>
      <c r="E31" s="2"/>
      <c r="F31" s="20"/>
      <c r="G31" s="5">
        <v>0</v>
      </c>
      <c r="H31" s="5">
        <v>0.01</v>
      </c>
      <c r="I31" s="5">
        <v>0.02</v>
      </c>
      <c r="J31" s="5">
        <v>0.03</v>
      </c>
      <c r="K31" s="5">
        <v>0.04</v>
      </c>
      <c r="L31" s="5">
        <v>0.05</v>
      </c>
      <c r="M31" s="5">
        <v>0.06</v>
      </c>
      <c r="N31" s="33">
        <f>SUMPRODUCT(drk1wu14[[#This Row],[1]:[6]]*(drk1wu14[[#This Row],[1]:[6]]&gt;=drk1wu14[[#This Row],[L]]))</f>
        <v>0.15000000000000002</v>
      </c>
      <c r="O31" s="96">
        <f>IF(drk1wu14[[#This Row],[Name]]="",0,LARGE(drk1wu14[[#This Row],[1]:[7]],$D$2))</f>
        <v>0</v>
      </c>
      <c r="P31" s="91" t="str">
        <f>IF(OR((COUNTIFS(drk1wu14[[#This Row],[1]:[6]],"="&amp;drk1wu14[[#This Row],[L]])=6),(COUNTIFS(drk1wu14[[#This Row],[1]:[6]],"="&amp;drk1wu14[[#This Row],[L]])&lt;2)),"OK","Fehler (zu wenig Streicher) [Gleiche Werte jeweils um 0,1 erhöhen]")</f>
        <v>OK</v>
      </c>
      <c r="AP31" s="1"/>
      <c r="AR31" s="4"/>
    </row>
    <row r="32" spans="1:44">
      <c r="A32" s="32"/>
      <c r="B32" s="20" t="str">
        <f>IF(drk1wu14[[#This Row],[Name]]="","",_xlfn.RANK.EQ(drk1wu14[[#This Row],[Result]],drk1wu14[Result],0))</f>
        <v/>
      </c>
      <c r="E32" s="2"/>
      <c r="F32" s="20"/>
      <c r="G32" s="5">
        <v>0</v>
      </c>
      <c r="H32" s="5">
        <v>0.01</v>
      </c>
      <c r="I32" s="5">
        <v>0.02</v>
      </c>
      <c r="J32" s="5">
        <v>0.03</v>
      </c>
      <c r="K32" s="5">
        <v>0.04</v>
      </c>
      <c r="L32" s="5">
        <v>0.05</v>
      </c>
      <c r="M32" s="5">
        <v>0.06</v>
      </c>
      <c r="N32" s="33">
        <f>SUMPRODUCT(drk1wu14[[#This Row],[1]:[6]]*(drk1wu14[[#This Row],[1]:[6]]&gt;=drk1wu14[[#This Row],[L]]))</f>
        <v>0.15000000000000002</v>
      </c>
      <c r="O32" s="96">
        <f>IF(drk1wu14[[#This Row],[Name]]="",0,LARGE(drk1wu14[[#This Row],[1]:[7]],$D$2))</f>
        <v>0</v>
      </c>
      <c r="P32" s="91" t="str">
        <f>IF(OR((COUNTIFS(drk1wu14[[#This Row],[1]:[6]],"="&amp;drk1wu14[[#This Row],[L]])=6),(COUNTIFS(drk1wu14[[#This Row],[1]:[6]],"="&amp;drk1wu14[[#This Row],[L]])&lt;2)),"OK","Fehler (zu wenig Streicher) [Gleiche Werte jeweils um 0,1 erhöhen]")</f>
        <v>OK</v>
      </c>
      <c r="AP32" s="1"/>
      <c r="AR32" s="4"/>
    </row>
    <row r="33" spans="1:44">
      <c r="A33" s="32"/>
      <c r="B33" s="20" t="str">
        <f>IF(drk1wu14[[#This Row],[Name]]="","",_xlfn.RANK.EQ(drk1wu14[[#This Row],[Result]],drk1wu14[Result],0))</f>
        <v/>
      </c>
      <c r="E33" s="2"/>
      <c r="F33" s="20"/>
      <c r="G33" s="5">
        <v>0</v>
      </c>
      <c r="H33" s="5">
        <v>0.01</v>
      </c>
      <c r="I33" s="5">
        <v>0.02</v>
      </c>
      <c r="J33" s="5">
        <v>0.03</v>
      </c>
      <c r="K33" s="5">
        <v>0.04</v>
      </c>
      <c r="L33" s="5">
        <v>0.05</v>
      </c>
      <c r="M33" s="5">
        <v>0.06</v>
      </c>
      <c r="N33" s="33">
        <f>SUMPRODUCT(drk1wu14[[#This Row],[1]:[6]]*(drk1wu14[[#This Row],[1]:[6]]&gt;=drk1wu14[[#This Row],[L]]))</f>
        <v>0.15000000000000002</v>
      </c>
      <c r="O33" s="96">
        <f>IF(drk1wu14[[#This Row],[Name]]="",0,LARGE(drk1wu14[[#This Row],[1]:[7]],$D$2))</f>
        <v>0</v>
      </c>
      <c r="P33" s="91" t="str">
        <f>IF(OR((COUNTIFS(drk1wu14[[#This Row],[1]:[6]],"="&amp;drk1wu14[[#This Row],[L]])=6),(COUNTIFS(drk1wu14[[#This Row],[1]:[6]],"="&amp;drk1wu14[[#This Row],[L]])&lt;2)),"OK","Fehler (zu wenig Streicher) [Gleiche Werte jeweils um 0,1 erhöhen]")</f>
        <v>OK</v>
      </c>
      <c r="AP33" s="1"/>
      <c r="AR33" s="4"/>
    </row>
    <row r="34" spans="1:44">
      <c r="A34" s="32"/>
      <c r="B34" s="20" t="str">
        <f>IF(drk1wu14[[#This Row],[Name]]="","",_xlfn.RANK.EQ(drk1wu14[[#This Row],[Result]],drk1wu14[Result],0))</f>
        <v/>
      </c>
      <c r="E34" s="2"/>
      <c r="F34" s="20"/>
      <c r="G34" s="5">
        <v>0</v>
      </c>
      <c r="H34" s="5">
        <v>0.01</v>
      </c>
      <c r="I34" s="5">
        <v>0.02</v>
      </c>
      <c r="J34" s="5">
        <v>0.03</v>
      </c>
      <c r="K34" s="5">
        <v>0.04</v>
      </c>
      <c r="L34" s="5">
        <v>0.05</v>
      </c>
      <c r="M34" s="5">
        <v>0.06</v>
      </c>
      <c r="N34" s="33">
        <f>SUMPRODUCT(drk1wu14[[#This Row],[1]:[6]]*(drk1wu14[[#This Row],[1]:[6]]&gt;=drk1wu14[[#This Row],[L]]))</f>
        <v>0.15000000000000002</v>
      </c>
      <c r="O34" s="96">
        <f>IF(drk1wu14[[#This Row],[Name]]="",0,LARGE(drk1wu14[[#This Row],[1]:[7]],$D$2))</f>
        <v>0</v>
      </c>
      <c r="P34" s="91" t="str">
        <f>IF(OR((COUNTIFS(drk1wu14[[#This Row],[1]:[6]],"="&amp;drk1wu14[[#This Row],[L]])=6),(COUNTIFS(drk1wu14[[#This Row],[1]:[6]],"="&amp;drk1wu14[[#This Row],[L]])&lt;2)),"OK","Fehler (zu wenig Streicher) [Gleiche Werte jeweils um 0,1 erhöhen]")</f>
        <v>OK</v>
      </c>
      <c r="AP34" s="1"/>
      <c r="AR34" s="4"/>
    </row>
    <row r="35" spans="1:44">
      <c r="A35" s="32"/>
      <c r="B35" s="20" t="str">
        <f>IF(drk1wu14[[#This Row],[Name]]="","",_xlfn.RANK.EQ(drk1wu14[[#This Row],[Result]],drk1wu14[Result],0))</f>
        <v/>
      </c>
      <c r="E35" s="2"/>
      <c r="F35" s="20"/>
      <c r="G35" s="5">
        <v>0</v>
      </c>
      <c r="H35" s="5">
        <v>0.01</v>
      </c>
      <c r="I35" s="5">
        <v>0.02</v>
      </c>
      <c r="J35" s="5">
        <v>0.03</v>
      </c>
      <c r="K35" s="5">
        <v>0.04</v>
      </c>
      <c r="L35" s="5">
        <v>0.05</v>
      </c>
      <c r="M35" s="5">
        <v>0.06</v>
      </c>
      <c r="N35" s="33">
        <f>SUMPRODUCT(drk1wu14[[#This Row],[1]:[6]]*(drk1wu14[[#This Row],[1]:[6]]&gt;=drk1wu14[[#This Row],[L]]))</f>
        <v>0.15000000000000002</v>
      </c>
      <c r="O35" s="96">
        <f>IF(drk1wu14[[#This Row],[Name]]="",0,LARGE(drk1wu14[[#This Row],[1]:[7]],$D$2))</f>
        <v>0</v>
      </c>
      <c r="P35" s="91" t="str">
        <f>IF(OR((COUNTIFS(drk1wu14[[#This Row],[1]:[6]],"="&amp;drk1wu14[[#This Row],[L]])=6),(COUNTIFS(drk1wu14[[#This Row],[1]:[6]],"="&amp;drk1wu14[[#This Row],[L]])&lt;2)),"OK","Fehler (zu wenig Streicher) [Gleiche Werte jeweils um 0,1 erhöhen]")</f>
        <v>OK</v>
      </c>
      <c r="AP35" s="1"/>
      <c r="AR35" s="4"/>
    </row>
    <row r="36" spans="1:44">
      <c r="A36" s="32"/>
      <c r="B36" s="20" t="str">
        <f>IF(drk1wu14[[#This Row],[Name]]="","",_xlfn.RANK.EQ(drk1wu14[[#This Row],[Result]],drk1wu14[Result],0))</f>
        <v/>
      </c>
      <c r="E36" s="2"/>
      <c r="F36" s="20"/>
      <c r="G36" s="5">
        <v>0</v>
      </c>
      <c r="H36" s="5">
        <v>0.01</v>
      </c>
      <c r="I36" s="5">
        <v>0.02</v>
      </c>
      <c r="J36" s="5">
        <v>0.03</v>
      </c>
      <c r="K36" s="5">
        <v>0.04</v>
      </c>
      <c r="L36" s="5">
        <v>0.05</v>
      </c>
      <c r="M36" s="5">
        <v>0.06</v>
      </c>
      <c r="N36" s="33">
        <f>SUMPRODUCT(drk1wu14[[#This Row],[1]:[6]]*(drk1wu14[[#This Row],[1]:[6]]&gt;=drk1wu14[[#This Row],[L]]))</f>
        <v>0.15000000000000002</v>
      </c>
      <c r="O36" s="96">
        <f>IF(drk1wu14[[#This Row],[Name]]="",0,LARGE(drk1wu14[[#This Row],[1]:[7]],$D$2))</f>
        <v>0</v>
      </c>
      <c r="P36" s="91" t="str">
        <f>IF(OR((COUNTIFS(drk1wu14[[#This Row],[1]:[6]],"="&amp;drk1wu14[[#This Row],[L]])=6),(COUNTIFS(drk1wu14[[#This Row],[1]:[6]],"="&amp;drk1wu14[[#This Row],[L]])&lt;2)),"OK","Fehler (zu wenig Streicher) [Gleiche Werte jeweils um 0,1 erhöhen]")</f>
        <v>OK</v>
      </c>
      <c r="AP36" s="1"/>
      <c r="AR36" s="4"/>
    </row>
    <row r="37" spans="1:44">
      <c r="A37" s="32"/>
      <c r="B37" s="20" t="str">
        <f>IF(drk1wu14[[#This Row],[Name]]="","",_xlfn.RANK.EQ(drk1wu14[[#This Row],[Result]],drk1wu14[Result],0))</f>
        <v/>
      </c>
      <c r="E37" s="2"/>
      <c r="F37" s="20"/>
      <c r="G37" s="5">
        <v>0</v>
      </c>
      <c r="H37" s="5">
        <v>0.01</v>
      </c>
      <c r="I37" s="5">
        <v>0.02</v>
      </c>
      <c r="J37" s="5">
        <v>0.03</v>
      </c>
      <c r="K37" s="5">
        <v>0.04</v>
      </c>
      <c r="L37" s="5">
        <v>0.05</v>
      </c>
      <c r="M37" s="5">
        <v>0.06</v>
      </c>
      <c r="N37" s="33">
        <f>SUMPRODUCT(drk1wu14[[#This Row],[1]:[6]]*(drk1wu14[[#This Row],[1]:[6]]&gt;=drk1wu14[[#This Row],[L]]))</f>
        <v>0.15000000000000002</v>
      </c>
      <c r="O37" s="96">
        <f>IF(drk1wu14[[#This Row],[Name]]="",0,LARGE(drk1wu14[[#This Row],[1]:[7]],$D$2))</f>
        <v>0</v>
      </c>
      <c r="P37" s="91" t="str">
        <f>IF(OR((COUNTIFS(drk1wu14[[#This Row],[1]:[6]],"="&amp;drk1wu14[[#This Row],[L]])=6),(COUNTIFS(drk1wu14[[#This Row],[1]:[6]],"="&amp;drk1wu14[[#This Row],[L]])&lt;2)),"OK","Fehler (zu wenig Streicher) [Gleiche Werte jeweils um 0,1 erhöhen]")</f>
        <v>OK</v>
      </c>
      <c r="AP37" s="1"/>
      <c r="AR37" s="4"/>
    </row>
    <row r="38" spans="1:44">
      <c r="A38" s="32"/>
      <c r="B38" s="20" t="str">
        <f>IF(drk1wu14[[#This Row],[Name]]="","",_xlfn.RANK.EQ(drk1wu14[[#This Row],[Result]],drk1wu14[Result],0))</f>
        <v/>
      </c>
      <c r="E38" s="2"/>
      <c r="F38" s="20"/>
      <c r="G38" s="5">
        <v>0</v>
      </c>
      <c r="H38" s="5">
        <v>0.01</v>
      </c>
      <c r="I38" s="5">
        <v>0.02</v>
      </c>
      <c r="J38" s="5">
        <v>0.03</v>
      </c>
      <c r="K38" s="5">
        <v>0.04</v>
      </c>
      <c r="L38" s="5">
        <v>0.05</v>
      </c>
      <c r="M38" s="5">
        <v>0.06</v>
      </c>
      <c r="N38" s="33">
        <f>SUMPRODUCT(drk1wu14[[#This Row],[1]:[6]]*(drk1wu14[[#This Row],[1]:[6]]&gt;=drk1wu14[[#This Row],[L]]))</f>
        <v>0.15000000000000002</v>
      </c>
      <c r="O38" s="96">
        <f>IF(drk1wu14[[#This Row],[Name]]="",0,LARGE(drk1wu14[[#This Row],[1]:[7]],$D$2))</f>
        <v>0</v>
      </c>
      <c r="P38" s="91" t="str">
        <f>IF(OR((COUNTIFS(drk1wu14[[#This Row],[1]:[6]],"="&amp;drk1wu14[[#This Row],[L]])=6),(COUNTIFS(drk1wu14[[#This Row],[1]:[6]],"="&amp;drk1wu14[[#This Row],[L]])&lt;2)),"OK","Fehler (zu wenig Streicher) [Gleiche Werte jeweils um 0,1 erhöhen]")</f>
        <v>OK</v>
      </c>
      <c r="AP38" s="1"/>
      <c r="AR38" s="4"/>
    </row>
    <row r="39" spans="1:44">
      <c r="A39" s="32"/>
      <c r="B39" s="20" t="str">
        <f>IF(drk1wu14[[#This Row],[Name]]="","",_xlfn.RANK.EQ(drk1wu14[[#This Row],[Result]],drk1wu14[Result],0))</f>
        <v/>
      </c>
      <c r="E39" s="2"/>
      <c r="F39" s="20"/>
      <c r="G39" s="5">
        <v>0</v>
      </c>
      <c r="H39" s="5">
        <v>0.01</v>
      </c>
      <c r="I39" s="5">
        <v>0.02</v>
      </c>
      <c r="J39" s="5">
        <v>0.03</v>
      </c>
      <c r="K39" s="5">
        <v>0.04</v>
      </c>
      <c r="L39" s="5">
        <v>0.05</v>
      </c>
      <c r="M39" s="5">
        <v>0.06</v>
      </c>
      <c r="N39" s="33">
        <f>SUMPRODUCT(drk1wu14[[#This Row],[1]:[6]]*(drk1wu14[[#This Row],[1]:[6]]&gt;=drk1wu14[[#This Row],[L]]))</f>
        <v>0.15000000000000002</v>
      </c>
      <c r="O39" s="96">
        <f>IF(drk1wu14[[#This Row],[Name]]="",0,LARGE(drk1wu14[[#This Row],[1]:[7]],$D$2))</f>
        <v>0</v>
      </c>
      <c r="P39" s="91" t="str">
        <f>IF(OR((COUNTIFS(drk1wu14[[#This Row],[1]:[6]],"="&amp;drk1wu14[[#This Row],[L]])=6),(COUNTIFS(drk1wu14[[#This Row],[1]:[6]],"="&amp;drk1wu14[[#This Row],[L]])&lt;2)),"OK","Fehler (zu wenig Streicher) [Gleiche Werte jeweils um 0,1 erhöhen]")</f>
        <v>OK</v>
      </c>
      <c r="AP39" s="1"/>
      <c r="AR39" s="4"/>
    </row>
    <row r="40" spans="1:44" ht="11.25" customHeight="1">
      <c r="A40" s="32"/>
      <c r="B40" s="20" t="str">
        <f>IF(drk1wu14[[#This Row],[Name]]="","",_xlfn.RANK.EQ(drk1wu14[[#This Row],[Result]],drk1wu14[Result],0))</f>
        <v/>
      </c>
      <c r="E40" s="2"/>
      <c r="F40" s="20"/>
      <c r="G40" s="5">
        <v>0</v>
      </c>
      <c r="H40" s="5">
        <v>0.01</v>
      </c>
      <c r="I40" s="5">
        <v>0.02</v>
      </c>
      <c r="J40" s="5">
        <v>0.03</v>
      </c>
      <c r="K40" s="5">
        <v>0.04</v>
      </c>
      <c r="L40" s="5">
        <v>0.05</v>
      </c>
      <c r="M40" s="5">
        <v>0.06</v>
      </c>
      <c r="N40" s="33">
        <f>SUMPRODUCT(drk1wu14[[#This Row],[1]:[6]]*(drk1wu14[[#This Row],[1]:[6]]&gt;=drk1wu14[[#This Row],[L]]))</f>
        <v>0.15000000000000002</v>
      </c>
      <c r="O40" s="96">
        <f>IF(drk1wu14[[#This Row],[Name]]="",0,LARGE(drk1wu14[[#This Row],[1]:[7]],$D$2))</f>
        <v>0</v>
      </c>
      <c r="P40" s="91" t="str">
        <f>IF(OR((COUNTIFS(drk1wu14[[#This Row],[1]:[6]],"="&amp;drk1wu14[[#This Row],[L]])=6),(COUNTIFS(drk1wu14[[#This Row],[1]:[6]],"="&amp;drk1wu14[[#This Row],[L]])&lt;2)),"OK","Fehler (zu wenig Streicher) [Gleiche Werte jeweils um 0,1 erhöhen]")</f>
        <v>OK</v>
      </c>
      <c r="AP40" s="1"/>
      <c r="AR40" s="4"/>
    </row>
    <row r="41" spans="1:44" ht="11.25" customHeight="1" thickBot="1">
      <c r="A41" s="34"/>
      <c r="B41" s="84" t="str">
        <f>IF(drk1wu14[[#This Row],[Name]]="","",_xlfn.RANK.EQ(drk1wu14[[#This Row],[Result]],drk1wu14[Result],0))</f>
        <v/>
      </c>
      <c r="C41" s="51"/>
      <c r="D41" s="51"/>
      <c r="E41" s="52"/>
      <c r="F41" s="35"/>
      <c r="G41" s="36">
        <v>0</v>
      </c>
      <c r="H41" s="36">
        <v>0.01</v>
      </c>
      <c r="I41" s="36">
        <v>0.02</v>
      </c>
      <c r="J41" s="36">
        <v>0.03</v>
      </c>
      <c r="K41" s="36">
        <v>0.04</v>
      </c>
      <c r="L41" s="36">
        <v>0.05</v>
      </c>
      <c r="M41" s="36">
        <v>0.06</v>
      </c>
      <c r="N41" s="37">
        <f>SUMPRODUCT(drk1wu14[[#This Row],[1]:[6]]*(drk1wu14[[#This Row],[1]:[6]]&gt;=drk1wu14[[#This Row],[L]]))</f>
        <v>0.15000000000000002</v>
      </c>
      <c r="O41" s="96">
        <f>IF(drk1wu14[[#This Row],[Name]]="",0,LARGE(drk1wu14[[#This Row],[1]:[7]],$D$2))</f>
        <v>0</v>
      </c>
      <c r="P41" s="91" t="str">
        <f>IF(OR((COUNTIFS(drk1wu14[[#This Row],[1]:[6]],"="&amp;drk1wu14[[#This Row],[L]])=6),(COUNTIFS(drk1wu14[[#This Row],[1]:[6]],"="&amp;drk1wu14[[#This Row],[L]])&lt;2)),"OK","Fehler (zu wenig Streicher) [Gleiche Werte jeweils um 0,1 erhöhen]")</f>
        <v>OK</v>
      </c>
      <c r="AP41" s="1"/>
      <c r="AR41" s="4"/>
    </row>
  </sheetData>
  <mergeCells count="9">
    <mergeCell ref="A27:F27"/>
    <mergeCell ref="A6:F6"/>
    <mergeCell ref="A1:C1"/>
    <mergeCell ref="AM1:AO1"/>
    <mergeCell ref="A2:C5"/>
    <mergeCell ref="D2:F5"/>
    <mergeCell ref="O5:O6"/>
    <mergeCell ref="O26:O27"/>
    <mergeCell ref="D1:N1"/>
  </mergeCells>
  <phoneticPr fontId="11" type="noConversion"/>
  <conditionalFormatting sqref="G29:O41 G8:O23">
    <cfRule type="expression" dxfId="239" priority="1">
      <formula>G8&lt;1</formula>
    </cfRule>
  </conditionalFormatting>
  <conditionalFormatting sqref="G29:M41 G8:M23">
    <cfRule type="expression" dxfId="238" priority="10">
      <formula>G8&lt;$O8</formula>
    </cfRule>
  </conditionalFormatting>
  <conditionalFormatting sqref="G29:N41 G8:N23">
    <cfRule type="expression" dxfId="237" priority="66">
      <formula>G8&gt;=$O8</formula>
    </cfRule>
  </conditionalFormatting>
  <pageMargins left="0.70866141732283472" right="0.70866141732283472" top="0.78740157480314965" bottom="0.78740157480314965" header="0.31496062992125984" footer="0.31496062992125984"/>
  <pageSetup paperSize="9" scale="68" fitToHeight="3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3C60F-C93F-4E22-9131-BB9E82E067DA}">
  <sheetPr codeName="Tabelle6"/>
  <dimension ref="A1:AJ35"/>
  <sheetViews>
    <sheetView tabSelected="1" zoomScaleNormal="100" workbookViewId="0">
      <selection activeCell="W5" sqref="W5"/>
    </sheetView>
  </sheetViews>
  <sheetFormatPr defaultColWidth="11.42578125" defaultRowHeight="11.25"/>
  <cols>
    <col min="1" max="2" width="5.7109375" style="2" customWidth="1"/>
    <col min="3" max="4" width="15.7109375" style="1" customWidth="1"/>
    <col min="5" max="5" width="15.7109375" style="20" customWidth="1"/>
    <col min="6" max="6" width="4.7109375" style="2" customWidth="1"/>
    <col min="7" max="9" width="3.85546875" style="2" customWidth="1"/>
    <col min="10" max="18" width="3.85546875" style="1" customWidth="1"/>
    <col min="19" max="19" width="7.7109375" style="1" customWidth="1"/>
    <col min="20" max="20" width="3.85546875" style="1" customWidth="1"/>
    <col min="21" max="21" width="5.7109375" style="17" customWidth="1"/>
    <col min="22" max="22" width="3.28515625" style="1" customWidth="1"/>
    <col min="23" max="23" width="8.28515625" style="1" customWidth="1"/>
    <col min="24" max="24" width="14.140625" style="1" customWidth="1"/>
    <col min="25" max="25" width="9.7109375" style="1" customWidth="1"/>
    <col min="26" max="26" width="8.85546875" style="1" customWidth="1"/>
    <col min="27" max="34" width="3.28515625" style="1" customWidth="1"/>
    <col min="35" max="35" width="6.42578125" style="4" customWidth="1"/>
    <col min="36" max="36" width="3.28515625" style="4" customWidth="1"/>
    <col min="37" max="37" width="11.42578125" style="1"/>
    <col min="38" max="38" width="8.7109375" style="1" customWidth="1"/>
    <col min="39" max="39" width="6.85546875" style="1" customWidth="1"/>
    <col min="40" max="40" width="8.42578125" style="1" customWidth="1"/>
    <col min="41" max="16384" width="11.42578125" style="1"/>
  </cols>
  <sheetData>
    <row r="1" spans="1:36" ht="60" customHeight="1" thickBot="1">
      <c r="A1" s="189" t="s">
        <v>64</v>
      </c>
      <c r="B1" s="190"/>
      <c r="C1" s="190"/>
      <c r="D1" s="187" t="s">
        <v>1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  <c r="T1" s="86"/>
      <c r="U1" s="90"/>
      <c r="V1" s="22"/>
      <c r="W1" s="22"/>
      <c r="X1" s="22"/>
      <c r="Y1" s="22"/>
      <c r="Z1" s="22"/>
      <c r="AA1" s="22"/>
      <c r="AB1" s="22"/>
      <c r="AC1" s="22"/>
      <c r="AD1" s="22"/>
      <c r="AE1" s="22"/>
      <c r="AF1" s="191"/>
      <c r="AG1" s="191"/>
      <c r="AH1" s="191"/>
    </row>
    <row r="2" spans="1:36" s="3" customFormat="1" ht="30" customHeight="1">
      <c r="A2" s="219" t="s">
        <v>72</v>
      </c>
      <c r="B2" s="220"/>
      <c r="C2" s="220"/>
      <c r="D2" s="196">
        <v>10</v>
      </c>
      <c r="E2" s="196"/>
      <c r="F2" s="197"/>
      <c r="G2" s="204" t="s">
        <v>95</v>
      </c>
      <c r="H2" s="205"/>
      <c r="I2" s="243" t="s">
        <v>3</v>
      </c>
      <c r="J2" s="205"/>
      <c r="K2" s="244" t="s">
        <v>3</v>
      </c>
      <c r="L2" s="226"/>
      <c r="M2" s="243" t="s">
        <v>3</v>
      </c>
      <c r="N2" s="205"/>
      <c r="O2" s="245" t="s">
        <v>3</v>
      </c>
      <c r="P2" s="246"/>
      <c r="Q2" s="223" t="s">
        <v>3</v>
      </c>
      <c r="R2" s="203"/>
      <c r="S2" s="38"/>
      <c r="T2" s="85"/>
      <c r="U2" s="89"/>
    </row>
    <row r="3" spans="1:36" s="3" customFormat="1" ht="75" customHeight="1">
      <c r="A3" s="221"/>
      <c r="B3" s="222"/>
      <c r="C3" s="222"/>
      <c r="D3" s="198"/>
      <c r="E3" s="198"/>
      <c r="F3" s="199"/>
      <c r="G3" s="53"/>
      <c r="H3" s="54"/>
      <c r="I3" s="56"/>
      <c r="J3" s="55"/>
      <c r="K3" s="233" t="s">
        <v>65</v>
      </c>
      <c r="L3" s="234"/>
      <c r="M3" s="57"/>
      <c r="N3" s="55"/>
      <c r="O3" s="23"/>
      <c r="P3" s="24"/>
      <c r="Q3" s="25"/>
      <c r="R3" s="112"/>
      <c r="S3" s="39"/>
      <c r="T3" s="85"/>
      <c r="U3" s="89"/>
    </row>
    <row r="4" spans="1:36" s="3" customFormat="1" ht="39.950000000000003" customHeight="1">
      <c r="A4" s="221"/>
      <c r="B4" s="222"/>
      <c r="C4" s="222"/>
      <c r="D4" s="198"/>
      <c r="E4" s="198"/>
      <c r="F4" s="199"/>
      <c r="G4" s="240" t="s">
        <v>96</v>
      </c>
      <c r="H4" s="241"/>
      <c r="I4" s="231" t="s">
        <v>48</v>
      </c>
      <c r="J4" s="232"/>
      <c r="K4" s="242" t="s">
        <v>8</v>
      </c>
      <c r="L4" s="230"/>
      <c r="M4" s="227" t="s">
        <v>50</v>
      </c>
      <c r="N4" s="228"/>
      <c r="O4" s="242" t="s">
        <v>97</v>
      </c>
      <c r="P4" s="230"/>
      <c r="Q4" s="224" t="s">
        <v>51</v>
      </c>
      <c r="R4" s="213"/>
      <c r="S4" s="39"/>
      <c r="T4" s="85"/>
      <c r="U4" s="89"/>
    </row>
    <row r="5" spans="1:36" s="3" customFormat="1" ht="90" customHeight="1">
      <c r="A5" s="221"/>
      <c r="B5" s="222"/>
      <c r="C5" s="222"/>
      <c r="D5" s="198"/>
      <c r="E5" s="198"/>
      <c r="F5" s="199"/>
      <c r="G5" s="113" t="s">
        <v>98</v>
      </c>
      <c r="H5" s="114" t="s">
        <v>99</v>
      </c>
      <c r="I5" s="64" t="s">
        <v>66</v>
      </c>
      <c r="J5" s="114" t="s">
        <v>67</v>
      </c>
      <c r="K5" s="128" t="s">
        <v>15</v>
      </c>
      <c r="L5" s="129" t="s">
        <v>16</v>
      </c>
      <c r="M5" s="64" t="s">
        <v>68</v>
      </c>
      <c r="N5" s="114" t="s">
        <v>69</v>
      </c>
      <c r="O5" s="171" t="s">
        <v>100</v>
      </c>
      <c r="P5" s="129" t="s">
        <v>101</v>
      </c>
      <c r="Q5" s="121" t="s">
        <v>70</v>
      </c>
      <c r="R5" s="122" t="s">
        <v>71</v>
      </c>
      <c r="S5" s="39"/>
      <c r="T5" s="186" t="s">
        <v>17</v>
      </c>
      <c r="U5" s="89"/>
    </row>
    <row r="6" spans="1:36" s="3" customFormat="1" ht="24.95" customHeight="1" thickBot="1">
      <c r="A6" s="176" t="s">
        <v>18</v>
      </c>
      <c r="B6" s="177"/>
      <c r="C6" s="177"/>
      <c r="D6" s="177"/>
      <c r="E6" s="177"/>
      <c r="F6" s="214"/>
      <c r="G6" s="215"/>
      <c r="H6" s="216"/>
      <c r="I6" s="238"/>
      <c r="J6" s="238"/>
      <c r="K6" s="235"/>
      <c r="L6" s="239"/>
      <c r="M6" s="215"/>
      <c r="N6" s="238"/>
      <c r="O6" s="235"/>
      <c r="P6" s="236"/>
      <c r="Q6" s="217"/>
      <c r="R6" s="237"/>
      <c r="S6" s="46"/>
      <c r="T6" s="186"/>
      <c r="U6" s="89"/>
    </row>
    <row r="7" spans="1:36" s="4" customFormat="1" ht="11.25" customHeight="1">
      <c r="A7" s="83" t="s">
        <v>19</v>
      </c>
      <c r="B7" s="4" t="s">
        <v>20</v>
      </c>
      <c r="C7" s="4" t="s">
        <v>21</v>
      </c>
      <c r="D7" s="4" t="s">
        <v>22</v>
      </c>
      <c r="E7" s="4" t="s">
        <v>23</v>
      </c>
      <c r="F7" s="4" t="s">
        <v>24</v>
      </c>
      <c r="G7" s="4" t="s">
        <v>25</v>
      </c>
      <c r="H7" s="4" t="s">
        <v>26</v>
      </c>
      <c r="I7" s="4" t="s">
        <v>27</v>
      </c>
      <c r="J7" s="4" t="s">
        <v>28</v>
      </c>
      <c r="K7" s="4" t="s">
        <v>29</v>
      </c>
      <c r="L7" s="4" t="s">
        <v>30</v>
      </c>
      <c r="M7" s="4" t="s">
        <v>31</v>
      </c>
      <c r="N7" s="4" t="s">
        <v>32</v>
      </c>
      <c r="O7" s="4" t="s">
        <v>102</v>
      </c>
      <c r="P7" s="4" t="s">
        <v>103</v>
      </c>
      <c r="Q7" s="4" t="s">
        <v>104</v>
      </c>
      <c r="R7" s="4" t="s">
        <v>105</v>
      </c>
      <c r="S7" s="43" t="s">
        <v>33</v>
      </c>
      <c r="T7" s="83" t="s">
        <v>34</v>
      </c>
      <c r="U7" s="17" t="s">
        <v>35</v>
      </c>
      <c r="V7" s="17"/>
      <c r="W7" s="17"/>
    </row>
    <row r="8" spans="1:36" ht="11.25" customHeight="1">
      <c r="A8" s="32"/>
      <c r="B8" s="20">
        <f>IF(slk1mu14[[#This Row],[Name]]="","",_xlfn.RANK.EQ(slk1mu14[[#This Row],[Result]],_xlnm.Criteria,0))</f>
        <v>1</v>
      </c>
      <c r="C8" s="1" t="s">
        <v>83</v>
      </c>
      <c r="D8" s="1" t="s">
        <v>84</v>
      </c>
      <c r="E8" s="2" t="s">
        <v>62</v>
      </c>
      <c r="F8" s="20" t="s">
        <v>39</v>
      </c>
      <c r="G8" s="5">
        <v>15</v>
      </c>
      <c r="H8" s="5">
        <v>15.02</v>
      </c>
      <c r="I8" s="5">
        <v>20</v>
      </c>
      <c r="J8" s="5">
        <v>20</v>
      </c>
      <c r="K8" s="5">
        <v>15.06</v>
      </c>
      <c r="L8" s="5">
        <v>10.06</v>
      </c>
      <c r="M8" s="5">
        <v>25</v>
      </c>
      <c r="N8" s="5">
        <v>25</v>
      </c>
      <c r="O8" s="5">
        <v>12.09</v>
      </c>
      <c r="P8" s="5">
        <v>15.08</v>
      </c>
      <c r="Q8" s="5">
        <v>25</v>
      </c>
      <c r="R8" s="5">
        <v>25</v>
      </c>
      <c r="S8" s="33">
        <f>SUMPRODUCT(slk1mu14[[#This Row],[1]:[12]]*(slk1mu14[[#This Row],[1]:[12]]&gt;=slk1mu14[[#This Row],[L]]))</f>
        <v>200.16</v>
      </c>
      <c r="T8" s="99">
        <f>IF(slk1mu14[[#This Row],[Name]]="",0,LARGE(slk1mu14[[#This Row],[1]:[12]],$D$2))</f>
        <v>15</v>
      </c>
      <c r="U8" s="91" t="str">
        <f>IF(OR((COUNTIFS(slk1mu14[[#This Row],[1]:[12]],"="&amp;slk1mu14[[#This Row],[L]])=12),(COUNTIFS(slk1mu14[[#This Row],[1]:[12]],"="&amp;slk1mu14[[#This Row],[L]])&lt;2)),"OK","Fehler (zu wenig Streicher) [Gleiche Werte jeweils um 0,1 erhöhen]")</f>
        <v>OK</v>
      </c>
      <c r="V8" s="6"/>
      <c r="W8" s="2"/>
      <c r="X8" s="169"/>
      <c r="Y8" s="2"/>
      <c r="Z8" s="168"/>
      <c r="AI8" s="1"/>
      <c r="AJ8" s="1"/>
    </row>
    <row r="9" spans="1:36" ht="11.25" customHeight="1">
      <c r="A9" s="32"/>
      <c r="B9" s="20">
        <f>IF(slk1mu14[[#This Row],[Name]]="","",_xlfn.RANK.EQ(slk1mu14[[#This Row],[Result]],_xlnm.Criteria,0))</f>
        <v>2</v>
      </c>
      <c r="C9" s="1" t="s">
        <v>74</v>
      </c>
      <c r="D9" s="1" t="s">
        <v>75</v>
      </c>
      <c r="E9" s="2" t="s">
        <v>76</v>
      </c>
      <c r="F9" s="20" t="s">
        <v>39</v>
      </c>
      <c r="G9" s="5">
        <v>20</v>
      </c>
      <c r="H9" s="5">
        <v>25</v>
      </c>
      <c r="I9" s="5">
        <v>25</v>
      </c>
      <c r="J9" s="5">
        <v>25</v>
      </c>
      <c r="K9" s="5">
        <v>25</v>
      </c>
      <c r="L9" s="5">
        <v>20</v>
      </c>
      <c r="M9" s="5">
        <v>7.0000000000000001E-3</v>
      </c>
      <c r="N9" s="5">
        <v>8.0000000000000002E-3</v>
      </c>
      <c r="O9" s="5">
        <v>25</v>
      </c>
      <c r="P9" s="5">
        <v>25</v>
      </c>
      <c r="Q9" s="5">
        <v>1.0999999999999999E-2</v>
      </c>
      <c r="R9" s="5">
        <v>1.2E-2</v>
      </c>
      <c r="S9" s="33">
        <f>SUMPRODUCT(slk1mu14[[#This Row],[1]:[12]]*(slk1mu14[[#This Row],[1]:[12]]&gt;=slk1mu14[[#This Row],[L]]))</f>
        <v>190.023</v>
      </c>
      <c r="T9" s="99">
        <f>IF(slk1mu14[[#This Row],[Name]]="",0,LARGE(slk1mu14[[#This Row],[1]:[12]],$D$2))</f>
        <v>1.0999999999999999E-2</v>
      </c>
      <c r="U9" s="91" t="str">
        <f>IF(OR((COUNTIFS(slk1mu14[[#This Row],[1]:[12]],"="&amp;slk1mu14[[#This Row],[L]])=12),(COUNTIFS(slk1mu14[[#This Row],[1]:[12]],"="&amp;slk1mu14[[#This Row],[L]])&lt;2)),"OK","Fehler (zu wenig Streicher) [Gleiche Werte jeweils um 0,1 erhöhen]")</f>
        <v>OK</v>
      </c>
      <c r="W9" s="2"/>
      <c r="X9" s="168"/>
      <c r="Y9" s="2"/>
      <c r="Z9" s="168"/>
      <c r="AI9" s="1"/>
      <c r="AJ9" s="1"/>
    </row>
    <row r="10" spans="1:36" ht="11.25" customHeight="1">
      <c r="A10" s="32"/>
      <c r="B10" s="20">
        <f>IF(slk1mu14[[#This Row],[Name]]="","",_xlfn.RANK.EQ(slk1mu14[[#This Row],[Result]],_xlnm.Criteria,0))</f>
        <v>3</v>
      </c>
      <c r="C10" s="1" t="s">
        <v>87</v>
      </c>
      <c r="D10" s="1" t="s">
        <v>106</v>
      </c>
      <c r="E10" s="2" t="s">
        <v>62</v>
      </c>
      <c r="F10" s="20" t="s">
        <v>39</v>
      </c>
      <c r="G10" s="5">
        <v>1E-3</v>
      </c>
      <c r="H10" s="5">
        <v>2E-3</v>
      </c>
      <c r="I10" s="5">
        <v>12</v>
      </c>
      <c r="J10" s="5">
        <v>12</v>
      </c>
      <c r="K10" s="5">
        <v>12</v>
      </c>
      <c r="L10" s="5">
        <v>15</v>
      </c>
      <c r="M10" s="5">
        <v>20</v>
      </c>
      <c r="N10" s="5">
        <v>25</v>
      </c>
      <c r="O10" s="5">
        <v>15</v>
      </c>
      <c r="P10" s="5">
        <v>11</v>
      </c>
      <c r="Q10" s="5">
        <v>20</v>
      </c>
      <c r="R10" s="5">
        <v>20</v>
      </c>
      <c r="S10" s="33">
        <f>SUMPRODUCT(slk1mu14[[#This Row],[1]:[12]]*(slk1mu14[[#This Row],[1]:[12]]&gt;=slk1mu14[[#This Row],[L]]))</f>
        <v>162</v>
      </c>
      <c r="T10" s="99">
        <f>IF(slk1mu14[[#This Row],[Name]]="",0,LARGE(slk1mu14[[#This Row],[1]:[12]],$D$2))</f>
        <v>11</v>
      </c>
      <c r="U10" s="91" t="str">
        <f>IF(OR((COUNTIFS(slk1mu14[[#This Row],[1]:[12]],"="&amp;slk1mu14[[#This Row],[L]])=12),(COUNTIFS(slk1mu14[[#This Row],[1]:[12]],"="&amp;slk1mu14[[#This Row],[L]])&lt;2)),"OK","Fehler (zu wenig Streicher) [Gleiche Werte jeweils um 0,1 erhöhen]")</f>
        <v>OK</v>
      </c>
      <c r="V10" s="6"/>
      <c r="W10" s="2"/>
      <c r="X10" s="168"/>
      <c r="Y10" s="2"/>
      <c r="Z10" s="168"/>
      <c r="AI10" s="1"/>
      <c r="AJ10" s="1"/>
    </row>
    <row r="11" spans="1:36" ht="11.25" customHeight="1">
      <c r="A11" s="32"/>
      <c r="B11" s="20">
        <f>IF(slk1mu14[[#This Row],[Name]]="","",_xlfn.RANK.EQ(slk1mu14[[#This Row],[Result]],_xlnm.Criteria,0))</f>
        <v>4</v>
      </c>
      <c r="C11" s="1" t="s">
        <v>88</v>
      </c>
      <c r="D11" s="1" t="s">
        <v>84</v>
      </c>
      <c r="E11" s="2" t="s">
        <v>62</v>
      </c>
      <c r="F11" s="20" t="s">
        <v>39</v>
      </c>
      <c r="G11" s="5">
        <v>12</v>
      </c>
      <c r="H11" s="5">
        <v>12</v>
      </c>
      <c r="I11" s="5">
        <v>11.03</v>
      </c>
      <c r="J11" s="5">
        <v>11.04</v>
      </c>
      <c r="K11" s="5">
        <v>11.06</v>
      </c>
      <c r="L11" s="5">
        <v>12</v>
      </c>
      <c r="M11" s="5">
        <v>25</v>
      </c>
      <c r="N11" s="5">
        <v>20</v>
      </c>
      <c r="O11" s="5">
        <v>0</v>
      </c>
      <c r="P11" s="5">
        <v>12</v>
      </c>
      <c r="Q11" s="5">
        <v>15</v>
      </c>
      <c r="R11" s="5">
        <v>15</v>
      </c>
      <c r="S11" s="33">
        <f>SUMPRODUCT(slk1mu14[[#This Row],[1]:[12]]*(slk1mu14[[#This Row],[1]:[12]]&gt;=slk1mu14[[#This Row],[L]]))</f>
        <v>145.1</v>
      </c>
      <c r="T11" s="99">
        <f>IF(slk1mu14[[#This Row],[Name]]="",0,LARGE(slk1mu14[[#This Row],[1]:[12]],$D$2))</f>
        <v>11.04</v>
      </c>
      <c r="U11" s="91" t="str">
        <f>IF(OR((COUNTIFS(slk1mu14[[#This Row],[1]:[12]],"="&amp;slk1mu14[[#This Row],[L]])=12),(COUNTIFS(slk1mu14[[#This Row],[1]:[12]],"="&amp;slk1mu14[[#This Row],[L]])&lt;2)),"OK","Fehler (zu wenig Streicher) [Gleiche Werte jeweils um 0,1 erhöhen]")</f>
        <v>OK</v>
      </c>
      <c r="W11" s="2"/>
      <c r="X11" s="168"/>
      <c r="Y11" s="2"/>
      <c r="Z11" s="168"/>
      <c r="AI11" s="1"/>
      <c r="AJ11" s="1"/>
    </row>
    <row r="12" spans="1:36" ht="11.25" customHeight="1">
      <c r="A12" s="32"/>
      <c r="B12" s="20">
        <f>IF(slk1mu14[[#This Row],[Name]]="","",_xlfn.RANK.EQ(slk1mu14[[#This Row],[Result]],_xlnm.Criteria,0))</f>
        <v>5</v>
      </c>
      <c r="C12" s="1" t="s">
        <v>80</v>
      </c>
      <c r="D12" s="1" t="s">
        <v>81</v>
      </c>
      <c r="E12" s="2" t="s">
        <v>82</v>
      </c>
      <c r="F12" s="20" t="s">
        <v>39</v>
      </c>
      <c r="G12" s="5">
        <v>25</v>
      </c>
      <c r="H12" s="5">
        <v>20</v>
      </c>
      <c r="I12" s="5">
        <v>3.0000000000000001E-3</v>
      </c>
      <c r="J12" s="5">
        <v>4.0000000000000001E-3</v>
      </c>
      <c r="K12" s="5">
        <v>20</v>
      </c>
      <c r="L12" s="5">
        <v>25</v>
      </c>
      <c r="M12" s="5">
        <v>7.0000000000000001E-3</v>
      </c>
      <c r="N12" s="5">
        <v>8.0000000000000002E-3</v>
      </c>
      <c r="O12" s="5">
        <v>20</v>
      </c>
      <c r="P12" s="5">
        <v>20</v>
      </c>
      <c r="Q12" s="5">
        <v>1.0999999999999999E-2</v>
      </c>
      <c r="R12" s="5">
        <v>1.2E-2</v>
      </c>
      <c r="S12" s="33">
        <f>SUMPRODUCT(slk1mu14[[#This Row],[1]:[12]]*(slk1mu14[[#This Row],[1]:[12]]&gt;=slk1mu14[[#This Row],[L]]))</f>
        <v>130.03799999999998</v>
      </c>
      <c r="T12" s="98">
        <f>IF(slk1mu14[[#This Row],[Name]]="",0,LARGE(slk1mu14[[#This Row],[1]:[12]],$D$2))</f>
        <v>7.0000000000000001E-3</v>
      </c>
      <c r="U12" s="91" t="str">
        <f>IF(OR((COUNTIFS(slk1mu14[[#This Row],[1]:[12]],"="&amp;slk1mu14[[#This Row],[L]])=12),(COUNTIFS(slk1mu14[[#This Row],[1]:[12]],"="&amp;slk1mu14[[#This Row],[L]])&lt;2)),"OK","Fehler (zu wenig Streicher) [Gleiche Werte jeweils um 0,1 erhöhen]")</f>
        <v>OK</v>
      </c>
      <c r="W12" s="2"/>
      <c r="X12" s="168"/>
      <c r="Y12" s="2"/>
      <c r="Z12" s="168"/>
      <c r="AI12" s="1"/>
      <c r="AJ12" s="1"/>
    </row>
    <row r="13" spans="1:36" ht="11.25" customHeight="1">
      <c r="A13" s="32"/>
      <c r="B13" s="20">
        <f>IF(slk1mu14[[#This Row],[Name]]="","",_xlfn.RANK.EQ(slk1mu14[[#This Row],[Result]],_xlnm.Criteria,0))</f>
        <v>6</v>
      </c>
      <c r="C13" s="1" t="s">
        <v>90</v>
      </c>
      <c r="D13" s="1" t="s">
        <v>89</v>
      </c>
      <c r="E13" s="2" t="s">
        <v>107</v>
      </c>
      <c r="F13" s="20"/>
      <c r="G13" s="5">
        <v>1E-3</v>
      </c>
      <c r="H13" s="5">
        <v>2E-3</v>
      </c>
      <c r="I13" s="5">
        <v>0</v>
      </c>
      <c r="J13" s="5">
        <v>0</v>
      </c>
      <c r="K13" s="5">
        <v>5.0000000000000001E-3</v>
      </c>
      <c r="L13" s="5">
        <v>6.0000000000000001E-3</v>
      </c>
      <c r="M13" s="5">
        <v>7.0000000000000001E-3</v>
      </c>
      <c r="N13" s="5">
        <v>8.0000000000000002E-3</v>
      </c>
      <c r="O13" s="5">
        <v>8.9999999999999993E-3</v>
      </c>
      <c r="P13" s="5">
        <v>0.01</v>
      </c>
      <c r="Q13" s="5">
        <v>12</v>
      </c>
      <c r="R13" s="5">
        <v>12</v>
      </c>
      <c r="S13" s="33">
        <f>SUMPRODUCT(slk1mu14[[#This Row],[1]:[12]]*(slk1mu14[[#This Row],[1]:[12]]&gt;=slk1mu14[[#This Row],[L]]))</f>
        <v>24.048000000000002</v>
      </c>
      <c r="T13" s="99">
        <f>IF(slk1mu14[[#This Row],[Name]]="",0,LARGE(slk1mu14[[#This Row],[1]:[12]],$D$2))</f>
        <v>1E-3</v>
      </c>
      <c r="U13" s="91" t="str">
        <f>IF(OR((COUNTIFS(slk1mu14[[#This Row],[1]:[12]],"="&amp;slk1mu14[[#This Row],[L]])=12),(COUNTIFS(slk1mu14[[#This Row],[1]:[12]],"="&amp;slk1mu14[[#This Row],[L]])&lt;2)),"OK","Fehler (zu wenig Streicher) [Gleiche Werte jeweils um 0,1 erhöhen]")</f>
        <v>OK</v>
      </c>
      <c r="W13" s="19"/>
      <c r="X13" s="4"/>
      <c r="AI13" s="1"/>
      <c r="AJ13" s="1"/>
    </row>
    <row r="14" spans="1:36" ht="11.25" customHeight="1">
      <c r="A14" s="32"/>
      <c r="B14" s="20">
        <f>IF(slk1mu14[[#This Row],[Name]]="","",_xlfn.RANK.EQ(slk1mu14[[#This Row],[Result]],_xlnm.Criteria,0))</f>
        <v>7</v>
      </c>
      <c r="C14" s="1" t="s">
        <v>77</v>
      </c>
      <c r="D14" s="1" t="s">
        <v>78</v>
      </c>
      <c r="E14" s="2" t="s">
        <v>79</v>
      </c>
      <c r="F14" s="20" t="s">
        <v>39</v>
      </c>
      <c r="G14" s="5">
        <v>1E-3</v>
      </c>
      <c r="H14" s="5">
        <v>2E-3</v>
      </c>
      <c r="I14" s="5">
        <v>3.0000000000000001E-3</v>
      </c>
      <c r="J14" s="5">
        <v>4.0000000000000001E-3</v>
      </c>
      <c r="K14" s="5">
        <v>10</v>
      </c>
      <c r="L14" s="5">
        <v>11</v>
      </c>
      <c r="M14" s="5">
        <v>7.0000000000000001E-3</v>
      </c>
      <c r="N14" s="5">
        <v>8.0000000000000002E-3</v>
      </c>
      <c r="O14" s="5">
        <v>8.9999999999999993E-3</v>
      </c>
      <c r="P14" s="5">
        <v>0.01</v>
      </c>
      <c r="Q14" s="5">
        <v>1.0999999999999999E-2</v>
      </c>
      <c r="R14" s="5">
        <v>1.2E-2</v>
      </c>
      <c r="S14" s="33">
        <f>SUMPRODUCT(slk1mu14[[#This Row],[1]:[12]]*(slk1mu14[[#This Row],[1]:[12]]&gt;=slk1mu14[[#This Row],[L]]))</f>
        <v>21.064</v>
      </c>
      <c r="T14" s="99">
        <f>IF(slk1mu14[[#This Row],[Name]]="",0,LARGE(slk1mu14[[#This Row],[1]:[12]],$D$2))</f>
        <v>3.0000000000000001E-3</v>
      </c>
      <c r="U14" s="91" t="str">
        <f>IF(OR((COUNTIFS(slk1mu14[[#This Row],[1]:[12]],"="&amp;slk1mu14[[#This Row],[L]])=12),(COUNTIFS(slk1mu14[[#This Row],[1]:[12]],"="&amp;slk1mu14[[#This Row],[L]])&lt;2)),"OK","Fehler (zu wenig Streicher) [Gleiche Werte jeweils um 0,1 erhöhen]")</f>
        <v>OK</v>
      </c>
      <c r="AI14" s="1"/>
      <c r="AJ14" s="1"/>
    </row>
    <row r="15" spans="1:36" ht="11.25" customHeight="1">
      <c r="A15" s="32"/>
      <c r="B15" s="20" t="str">
        <f>IF(slk1mu14[[#This Row],[Name]]="","",_xlfn.RANK.EQ(slk1mu14[[#This Row],[Result]],_xlnm.Criteria,0))</f>
        <v/>
      </c>
      <c r="E15" s="2"/>
      <c r="F15" s="20"/>
      <c r="G15" s="5">
        <v>1E-3</v>
      </c>
      <c r="H15" s="5">
        <v>2E-3</v>
      </c>
      <c r="I15" s="5">
        <v>3.0000000000000001E-3</v>
      </c>
      <c r="J15" s="5">
        <v>4.0000000000000001E-3</v>
      </c>
      <c r="K15" s="5">
        <v>5.0000000000000001E-3</v>
      </c>
      <c r="L15" s="5">
        <v>6.0000000000000001E-3</v>
      </c>
      <c r="M15" s="5">
        <v>7.0000000000000001E-3</v>
      </c>
      <c r="N15" s="5">
        <v>8.0000000000000002E-3</v>
      </c>
      <c r="O15" s="5">
        <v>8.9999999999999993E-3</v>
      </c>
      <c r="P15" s="5">
        <v>0.01</v>
      </c>
      <c r="Q15" s="5">
        <v>1.0999999999999999E-2</v>
      </c>
      <c r="R15" s="5">
        <v>1.2E-2</v>
      </c>
      <c r="S15" s="33">
        <f>SUMPRODUCT(slk1mu14[[#This Row],[1]:[12]]*(slk1mu14[[#This Row],[1]:[12]]&gt;=slk1mu14[[#This Row],[L]]))</f>
        <v>7.8E-2</v>
      </c>
      <c r="T15" s="99">
        <f>IF(slk1mu14[[#This Row],[Name]]="",0,LARGE(slk1mu14[[#This Row],[1]:[12]],$D$2))</f>
        <v>0</v>
      </c>
      <c r="U15" s="91" t="str">
        <f>IF(OR((COUNTIFS(slk1mu14[[#This Row],[1]:[12]],"="&amp;slk1mu14[[#This Row],[L]])=12),(COUNTIFS(slk1mu14[[#This Row],[1]:[12]],"="&amp;slk1mu14[[#This Row],[L]])&lt;2)),"OK","Fehler (zu wenig Streicher) [Gleiche Werte jeweils um 0,1 erhöhen]")</f>
        <v>OK</v>
      </c>
      <c r="AI15" s="1"/>
      <c r="AJ15" s="1"/>
    </row>
    <row r="16" spans="1:36" ht="11.25" customHeight="1">
      <c r="A16" s="32"/>
      <c r="B16" s="20" t="str">
        <f>IF(slk1mu14[[#This Row],[Name]]="","",_xlfn.RANK.EQ(slk1mu14[[#This Row],[Result]],_xlnm.Criteria,0))</f>
        <v/>
      </c>
      <c r="E16" s="2"/>
      <c r="F16" s="20"/>
      <c r="G16" s="5">
        <v>1E-3</v>
      </c>
      <c r="H16" s="5">
        <v>2E-3</v>
      </c>
      <c r="I16" s="5">
        <v>3.0000000000000001E-3</v>
      </c>
      <c r="J16" s="5">
        <v>4.0000000000000001E-3</v>
      </c>
      <c r="K16" s="5">
        <v>5.0000000000000001E-3</v>
      </c>
      <c r="L16" s="5">
        <v>6.0000000000000001E-3</v>
      </c>
      <c r="M16" s="5">
        <v>7.0000000000000001E-3</v>
      </c>
      <c r="N16" s="5">
        <v>8.0000000000000002E-3</v>
      </c>
      <c r="O16" s="5">
        <v>8.9999999999999993E-3</v>
      </c>
      <c r="P16" s="5">
        <v>0.01</v>
      </c>
      <c r="Q16" s="5">
        <v>1.0999999999999999E-2</v>
      </c>
      <c r="R16" s="5">
        <v>1.2E-2</v>
      </c>
      <c r="S16" s="33">
        <f>SUMPRODUCT(slk1mu14[[#This Row],[1]:[12]]*(slk1mu14[[#This Row],[1]:[12]]&gt;=slk1mu14[[#This Row],[L]]))</f>
        <v>7.8E-2</v>
      </c>
      <c r="T16" s="99">
        <f>IF(slk1mu14[[#This Row],[Name]]="",0,LARGE(slk1mu14[[#This Row],[1]:[12]],$D$2))</f>
        <v>0</v>
      </c>
      <c r="U16" s="91" t="str">
        <f>IF(OR((COUNTIFS(slk1mu14[[#This Row],[1]:[12]],"="&amp;slk1mu14[[#This Row],[L]])=12),(COUNTIFS(slk1mu14[[#This Row],[1]:[12]],"="&amp;slk1mu14[[#This Row],[L]])&lt;2)),"OK","Fehler (zu wenig Streicher) [Gleiche Werte jeweils um 0,1 erhöhen]")</f>
        <v>OK</v>
      </c>
      <c r="AI16" s="1"/>
      <c r="AJ16" s="1"/>
    </row>
    <row r="17" spans="1:36" ht="11.25" customHeight="1">
      <c r="A17" s="32"/>
      <c r="B17" s="20" t="str">
        <f>IF(slk1mu14[[#This Row],[Name]]="","",_xlfn.RANK.EQ(slk1mu14[[#This Row],[Result]],_xlnm.Criteria,0))</f>
        <v/>
      </c>
      <c r="E17" s="2"/>
      <c r="F17" s="20"/>
      <c r="G17" s="5">
        <v>1E-3</v>
      </c>
      <c r="H17" s="5">
        <v>2E-3</v>
      </c>
      <c r="I17" s="5">
        <v>3.0000000000000001E-3</v>
      </c>
      <c r="J17" s="5">
        <v>4.0000000000000001E-3</v>
      </c>
      <c r="K17" s="5">
        <v>5.0000000000000001E-3</v>
      </c>
      <c r="L17" s="5">
        <v>6.0000000000000001E-3</v>
      </c>
      <c r="M17" s="5">
        <v>7.0000000000000001E-3</v>
      </c>
      <c r="N17" s="5">
        <v>8.0000000000000002E-3</v>
      </c>
      <c r="O17" s="5">
        <v>8.9999999999999993E-3</v>
      </c>
      <c r="P17" s="5">
        <v>0.01</v>
      </c>
      <c r="Q17" s="5">
        <v>1.0999999999999999E-2</v>
      </c>
      <c r="R17" s="5">
        <v>1.2E-2</v>
      </c>
      <c r="S17" s="33">
        <f>SUMPRODUCT(slk1mu14[[#This Row],[1]:[12]]*(slk1mu14[[#This Row],[1]:[12]]&gt;=slk1mu14[[#This Row],[L]]))</f>
        <v>7.8E-2</v>
      </c>
      <c r="T17" s="99">
        <f>IF(slk1mu14[[#This Row],[Name]]="",0,LARGE(slk1mu14[[#This Row],[1]:[12]],$D$2))</f>
        <v>0</v>
      </c>
      <c r="U17" s="91" t="str">
        <f>IF(OR((COUNTIFS(slk1mu14[[#This Row],[1]:[12]],"="&amp;slk1mu14[[#This Row],[L]])=12),(COUNTIFS(slk1mu14[[#This Row],[1]:[12]],"="&amp;slk1mu14[[#This Row],[L]])&lt;2)),"OK","Fehler (zu wenig Streicher) [Gleiche Werte jeweils um 0,1 erhöhen]")</f>
        <v>OK</v>
      </c>
      <c r="AI17" s="1"/>
      <c r="AJ17" s="1"/>
    </row>
    <row r="18" spans="1:36" ht="11.25" customHeight="1">
      <c r="A18" s="32"/>
      <c r="B18" s="20" t="str">
        <f>IF(slk1mu14[[#This Row],[Name]]="","",_xlfn.RANK.EQ(slk1mu14[[#This Row],[Result]],_xlnm.Criteria,0))</f>
        <v/>
      </c>
      <c r="E18" s="2"/>
      <c r="F18" s="20"/>
      <c r="G18" s="5">
        <v>1E-3</v>
      </c>
      <c r="H18" s="5">
        <v>2E-3</v>
      </c>
      <c r="I18" s="5">
        <v>3.0000000000000001E-3</v>
      </c>
      <c r="J18" s="5">
        <v>4.0000000000000001E-3</v>
      </c>
      <c r="K18" s="5">
        <v>5.0000000000000001E-3</v>
      </c>
      <c r="L18" s="5">
        <v>6.0000000000000001E-3</v>
      </c>
      <c r="M18" s="5">
        <v>7.0000000000000001E-3</v>
      </c>
      <c r="N18" s="5">
        <v>8.0000000000000002E-3</v>
      </c>
      <c r="O18" s="5">
        <v>8.9999999999999993E-3</v>
      </c>
      <c r="P18" s="5">
        <v>0.01</v>
      </c>
      <c r="Q18" s="5">
        <v>1.0999999999999999E-2</v>
      </c>
      <c r="R18" s="5">
        <v>1.2E-2</v>
      </c>
      <c r="S18" s="33">
        <f>SUMPRODUCT(slk1mu14[[#This Row],[1]:[12]]*(slk1mu14[[#This Row],[1]:[12]]&gt;=slk1mu14[[#This Row],[L]]))</f>
        <v>7.8E-2</v>
      </c>
      <c r="T18" s="99">
        <f>IF(slk1mu14[[#This Row],[Name]]="",0,LARGE(slk1mu14[[#This Row],[1]:[12]],$D$2))</f>
        <v>0</v>
      </c>
      <c r="U18" s="91" t="str">
        <f>IF(OR((COUNTIFS(slk1mu14[[#This Row],[1]:[12]],"="&amp;slk1mu14[[#This Row],[L]])=12),(COUNTIFS(slk1mu14[[#This Row],[1]:[12]],"="&amp;slk1mu14[[#This Row],[L]])&lt;2)),"OK","Fehler (zu wenig Streicher) [Gleiche Werte jeweils um 0,1 erhöhen]")</f>
        <v>OK</v>
      </c>
      <c r="AI18" s="1"/>
      <c r="AJ18" s="1"/>
    </row>
    <row r="19" spans="1:36" ht="11.25" customHeight="1">
      <c r="A19" s="32"/>
      <c r="B19" s="20" t="str">
        <f>IF(slk1mu14[[#This Row],[Name]]="","",_xlfn.RANK.EQ(slk1mu14[[#This Row],[Result]],_xlnm.Criteria,0))</f>
        <v/>
      </c>
      <c r="E19" s="2"/>
      <c r="F19" s="20"/>
      <c r="G19" s="5">
        <v>1E-3</v>
      </c>
      <c r="H19" s="5">
        <v>2E-3</v>
      </c>
      <c r="I19" s="5">
        <v>3.0000000000000001E-3</v>
      </c>
      <c r="J19" s="5">
        <v>4.0000000000000001E-3</v>
      </c>
      <c r="K19" s="5">
        <v>5.0000000000000001E-3</v>
      </c>
      <c r="L19" s="5">
        <v>6.0000000000000001E-3</v>
      </c>
      <c r="M19" s="5">
        <v>7.0000000000000001E-3</v>
      </c>
      <c r="N19" s="5">
        <v>8.0000000000000002E-3</v>
      </c>
      <c r="O19" s="5">
        <v>8.9999999999999993E-3</v>
      </c>
      <c r="P19" s="5">
        <v>0.01</v>
      </c>
      <c r="Q19" s="5">
        <v>1.0999999999999999E-2</v>
      </c>
      <c r="R19" s="5">
        <v>1.2E-2</v>
      </c>
      <c r="S19" s="33">
        <f>SUMPRODUCT(slk1mu14[[#This Row],[1]:[12]]*(slk1mu14[[#This Row],[1]:[12]]&gt;=slk1mu14[[#This Row],[L]]))</f>
        <v>7.8E-2</v>
      </c>
      <c r="T19" s="99">
        <f>IF(slk1mu14[[#This Row],[Name]]="",0,LARGE(slk1mu14[[#This Row],[1]:[12]],$D$2))</f>
        <v>0</v>
      </c>
      <c r="U19" s="91" t="str">
        <f>IF(OR((COUNTIFS(slk1mu14[[#This Row],[1]:[12]],"="&amp;slk1mu14[[#This Row],[L]])=12),(COUNTIFS(slk1mu14[[#This Row],[1]:[12]],"="&amp;slk1mu14[[#This Row],[L]])&lt;2)),"OK","Fehler (zu wenig Streicher) [Gleiche Werte jeweils um 0,1 erhöhen]")</f>
        <v>OK</v>
      </c>
      <c r="AI19" s="1"/>
      <c r="AJ19" s="1"/>
    </row>
    <row r="20" spans="1:36" ht="11.25" customHeight="1">
      <c r="A20" s="32"/>
      <c r="B20" s="20" t="str">
        <f>IF(slk1mu14[[#This Row],[Name]]="","",_xlfn.RANK.EQ(slk1mu14[[#This Row],[Result]],_xlnm.Criteria,0))</f>
        <v/>
      </c>
      <c r="E20" s="2"/>
      <c r="F20" s="20"/>
      <c r="G20" s="5">
        <v>1E-3</v>
      </c>
      <c r="H20" s="5">
        <v>2E-3</v>
      </c>
      <c r="I20" s="5">
        <v>3.0000000000000001E-3</v>
      </c>
      <c r="J20" s="5">
        <v>4.0000000000000001E-3</v>
      </c>
      <c r="K20" s="5">
        <v>5.0000000000000001E-3</v>
      </c>
      <c r="L20" s="5">
        <v>6.0000000000000001E-3</v>
      </c>
      <c r="M20" s="5">
        <v>7.0000000000000001E-3</v>
      </c>
      <c r="N20" s="5">
        <v>8.0000000000000002E-3</v>
      </c>
      <c r="O20" s="5">
        <v>8.9999999999999993E-3</v>
      </c>
      <c r="P20" s="5">
        <v>0.01</v>
      </c>
      <c r="Q20" s="5">
        <v>1.0999999999999999E-2</v>
      </c>
      <c r="R20" s="5">
        <v>1.2E-2</v>
      </c>
      <c r="S20" s="33">
        <f>SUMPRODUCT(slk1mu14[[#This Row],[1]:[12]]*(slk1mu14[[#This Row],[1]:[12]]&gt;=slk1mu14[[#This Row],[L]]))</f>
        <v>7.8E-2</v>
      </c>
      <c r="T20" s="99">
        <f>IF(slk1mu14[[#This Row],[Name]]="",0,LARGE(slk1mu14[[#This Row],[1]:[12]],$D$2))</f>
        <v>0</v>
      </c>
      <c r="U20" s="91" t="str">
        <f>IF(OR((COUNTIFS(slk1mu14[[#This Row],[1]:[12]],"="&amp;slk1mu14[[#This Row],[L]])=12),(COUNTIFS(slk1mu14[[#This Row],[1]:[12]],"="&amp;slk1mu14[[#This Row],[L]])&lt;2)),"OK","Fehler (zu wenig Streicher) [Gleiche Werte jeweils um 0,1 erhöhen]")</f>
        <v>OK</v>
      </c>
      <c r="AI20" s="1"/>
      <c r="AJ20" s="1"/>
    </row>
    <row r="21" spans="1:36" ht="11.25" customHeight="1">
      <c r="A21" s="32"/>
      <c r="B21" s="20" t="str">
        <f>IF(slk1mu14[[#This Row],[Name]]="","",_xlfn.RANK.EQ(slk1mu14[[#This Row],[Result]],_xlnm.Criteria,0))</f>
        <v/>
      </c>
      <c r="E21" s="2"/>
      <c r="F21" s="20"/>
      <c r="G21" s="5">
        <v>1E-3</v>
      </c>
      <c r="H21" s="5">
        <v>2E-3</v>
      </c>
      <c r="I21" s="5">
        <v>3.0000000000000001E-3</v>
      </c>
      <c r="J21" s="5">
        <v>4.0000000000000001E-3</v>
      </c>
      <c r="K21" s="5">
        <v>5.0000000000000001E-3</v>
      </c>
      <c r="L21" s="5">
        <v>6.0000000000000001E-3</v>
      </c>
      <c r="M21" s="5">
        <v>7.0000000000000001E-3</v>
      </c>
      <c r="N21" s="5">
        <v>8.0000000000000002E-3</v>
      </c>
      <c r="O21" s="5">
        <v>8.9999999999999993E-3</v>
      </c>
      <c r="P21" s="5">
        <v>0.01</v>
      </c>
      <c r="Q21" s="5">
        <v>1.0999999999999999E-2</v>
      </c>
      <c r="R21" s="5">
        <v>1.2E-2</v>
      </c>
      <c r="S21" s="33">
        <f>SUMPRODUCT(slk1mu14[[#This Row],[1]:[12]]*(slk1mu14[[#This Row],[1]:[12]]&gt;=slk1mu14[[#This Row],[L]]))</f>
        <v>7.8E-2</v>
      </c>
      <c r="T21" s="99">
        <f>IF(slk1mu14[[#This Row],[Name]]="",0,LARGE(slk1mu14[[#This Row],[1]:[12]],$D$2))</f>
        <v>0</v>
      </c>
      <c r="U21" s="91" t="str">
        <f>IF(OR((COUNTIFS(slk1mu14[[#This Row],[1]:[12]],"="&amp;slk1mu14[[#This Row],[L]])=12),(COUNTIFS(slk1mu14[[#This Row],[1]:[12]],"="&amp;slk1mu14[[#This Row],[L]])&lt;2)),"OK","Fehler (zu wenig Streicher) [Gleiche Werte jeweils um 0,1 erhöhen]")</f>
        <v>OK</v>
      </c>
      <c r="AI21" s="1"/>
      <c r="AJ21" s="1"/>
    </row>
    <row r="22" spans="1:36" ht="11.25" customHeight="1" thickBot="1">
      <c r="A22" s="34"/>
      <c r="B22" s="35" t="str">
        <f>IF(slk1mu14[[#This Row],[Name]]="","",_xlfn.RANK.EQ(slk1mu14[[#This Row],[Result]],_xlnm.Criteria,0))</f>
        <v/>
      </c>
      <c r="C22" s="51"/>
      <c r="D22" s="51"/>
      <c r="E22" s="52"/>
      <c r="F22" s="35"/>
      <c r="G22" s="36">
        <v>1E-3</v>
      </c>
      <c r="H22" s="36">
        <v>2E-3</v>
      </c>
      <c r="I22" s="36">
        <v>3.0000000000000001E-3</v>
      </c>
      <c r="J22" s="36">
        <v>4.0000000000000001E-3</v>
      </c>
      <c r="K22" s="36">
        <v>5.0000000000000001E-3</v>
      </c>
      <c r="L22" s="36">
        <v>6.0000000000000001E-3</v>
      </c>
      <c r="M22" s="36">
        <v>7.0000000000000001E-3</v>
      </c>
      <c r="N22" s="36">
        <v>8.0000000000000002E-3</v>
      </c>
      <c r="O22" s="36">
        <v>8.9999999999999993E-3</v>
      </c>
      <c r="P22" s="36">
        <v>0.01</v>
      </c>
      <c r="Q22" s="5">
        <v>1.0999999999999999E-2</v>
      </c>
      <c r="R22" s="5">
        <v>1.2E-2</v>
      </c>
      <c r="S22" s="37">
        <f>SUMPRODUCT(slk1mu14[[#This Row],[1]:[12]]*(slk1mu14[[#This Row],[1]:[12]]&gt;=slk1mu14[[#This Row],[L]]))</f>
        <v>7.8E-2</v>
      </c>
      <c r="T22" s="99">
        <f>IF(slk1mu14[[#This Row],[Name]]="",0,LARGE(slk1mu14[[#This Row],[1]:[12]],$D$2))</f>
        <v>0</v>
      </c>
      <c r="U22" s="91" t="str">
        <f>IF(OR((COUNTIFS(slk1mu14[[#This Row],[1]:[12]],"="&amp;slk1mu14[[#This Row],[L]])=12),(COUNTIFS(slk1mu14[[#This Row],[1]:[12]],"="&amp;slk1mu14[[#This Row],[L]])&lt;2)),"OK","Fehler (zu wenig Streicher) [Gleiche Werte jeweils um 0,1 erhöhen]")</f>
        <v>OK</v>
      </c>
      <c r="AI22" s="1"/>
      <c r="AJ22" s="1"/>
    </row>
    <row r="25" spans="1:36" ht="15" customHeight="1">
      <c r="S25" s="3"/>
      <c r="T25" s="174" t="s">
        <v>17</v>
      </c>
      <c r="U25" s="89"/>
    </row>
    <row r="26" spans="1:36" ht="24.95" customHeight="1" thickBot="1">
      <c r="A26" s="176" t="s">
        <v>40</v>
      </c>
      <c r="B26" s="177"/>
      <c r="C26" s="177"/>
      <c r="D26" s="177"/>
      <c r="E26" s="177"/>
      <c r="F26" s="214"/>
      <c r="G26" s="215"/>
      <c r="H26" s="216"/>
      <c r="I26" s="238"/>
      <c r="J26" s="238"/>
      <c r="K26" s="235"/>
      <c r="L26" s="239"/>
      <c r="M26" s="215"/>
      <c r="N26" s="238"/>
      <c r="O26" s="217"/>
      <c r="P26" s="237"/>
      <c r="Q26" s="235"/>
      <c r="R26" s="236"/>
      <c r="S26" s="46"/>
      <c r="T26" s="186"/>
      <c r="U26" s="89"/>
    </row>
    <row r="27" spans="1:36">
      <c r="A27" s="83" t="s">
        <v>19</v>
      </c>
      <c r="B27" s="4" t="s">
        <v>20</v>
      </c>
      <c r="C27" s="4" t="s">
        <v>21</v>
      </c>
      <c r="D27" s="4" t="s">
        <v>22</v>
      </c>
      <c r="E27" s="4" t="s">
        <v>23</v>
      </c>
      <c r="F27" s="4" t="s">
        <v>24</v>
      </c>
      <c r="G27" s="4" t="s">
        <v>25</v>
      </c>
      <c r="H27" s="4" t="s">
        <v>26</v>
      </c>
      <c r="I27" s="4" t="s">
        <v>27</v>
      </c>
      <c r="J27" s="4" t="s">
        <v>28</v>
      </c>
      <c r="K27" s="4" t="s">
        <v>29</v>
      </c>
      <c r="L27" s="4" t="s">
        <v>30</v>
      </c>
      <c r="M27" s="4" t="s">
        <v>31</v>
      </c>
      <c r="N27" s="4" t="s">
        <v>32</v>
      </c>
      <c r="O27" s="4" t="s">
        <v>102</v>
      </c>
      <c r="P27" s="4" t="s">
        <v>103</v>
      </c>
      <c r="Q27" s="4" t="s">
        <v>104</v>
      </c>
      <c r="R27" s="4" t="s">
        <v>105</v>
      </c>
      <c r="S27" s="43" t="s">
        <v>33</v>
      </c>
      <c r="T27" s="83" t="s">
        <v>34</v>
      </c>
      <c r="U27" s="17" t="s">
        <v>35</v>
      </c>
    </row>
    <row r="28" spans="1:36">
      <c r="A28" s="32"/>
      <c r="B28" s="20">
        <f>IF(slk1wu14[[#This Row],[Name]]="","",_xlfn.RANK.EQ(slk1wu14[[#This Row],[Result]],slk1wu14[Result],0))</f>
        <v>1</v>
      </c>
      <c r="C28" s="1" t="s">
        <v>108</v>
      </c>
      <c r="D28" s="1" t="s">
        <v>109</v>
      </c>
      <c r="E28" s="2" t="s">
        <v>110</v>
      </c>
      <c r="F28" s="20" t="s">
        <v>39</v>
      </c>
      <c r="G28" s="5">
        <v>1E-3</v>
      </c>
      <c r="H28" s="5">
        <v>2E-3</v>
      </c>
      <c r="I28" s="5">
        <v>3.0000000000000001E-3</v>
      </c>
      <c r="J28" s="5">
        <v>4.0000000000000001E-3</v>
      </c>
      <c r="K28" s="5">
        <v>5.0000000000000001E-3</v>
      </c>
      <c r="L28" s="5">
        <v>6.0000000000000001E-3</v>
      </c>
      <c r="M28" s="5">
        <v>25</v>
      </c>
      <c r="N28" s="5">
        <v>25</v>
      </c>
      <c r="O28" s="5">
        <v>8.9999999999999993E-3</v>
      </c>
      <c r="P28" s="5">
        <v>0.01</v>
      </c>
      <c r="Q28" s="5">
        <v>1.0999999999999999E-2</v>
      </c>
      <c r="R28" s="5">
        <v>1.2E-2</v>
      </c>
      <c r="S28" s="33">
        <f>SUMPRODUCT(slk1wu14[[#This Row],[1]:[12]]*(slk1wu14[[#This Row],[1]:[12]]&gt;=slk1wu14[[#This Row],[L]]))</f>
        <v>50.06</v>
      </c>
      <c r="T28" s="98">
        <f>IF(slk1wu14[[#This Row],[Name]]="",0,LARGE(slk1wu14[[#This Row],[1]:[12]],$D$2))</f>
        <v>3.0000000000000001E-3</v>
      </c>
      <c r="U28" s="91" t="str">
        <f>IF(OR((COUNTIFS(slk1wu14[[#This Row],[1]:[12]],"="&amp;slk1wu14[[#This Row],[L]])=12),(COUNTIFS(slk1wu14[[#This Row],[1]:[12]],"="&amp;slk1wu14[[#This Row],[L]])&lt;2)),"OK","Fehler (zu wenig Streicher) [Gleiche Werte jeweils um 0,1 erhöhen]")</f>
        <v>OK</v>
      </c>
    </row>
    <row r="29" spans="1:36">
      <c r="A29" s="32"/>
      <c r="B29" s="20" t="str">
        <f>IF(slk1wu14[[#This Row],[Name]]="","",_xlfn.RANK.EQ(slk1wu14[[#This Row],[Result]],slk1wu14[Result],0))</f>
        <v/>
      </c>
      <c r="E29" s="2"/>
      <c r="F29" s="20"/>
      <c r="G29" s="5">
        <v>1E-3</v>
      </c>
      <c r="H29" s="5">
        <v>2E-3</v>
      </c>
      <c r="I29" s="5">
        <v>3.0000000000000001E-3</v>
      </c>
      <c r="J29" s="5">
        <v>4.0000000000000001E-3</v>
      </c>
      <c r="K29" s="5">
        <v>5.0000000000000001E-3</v>
      </c>
      <c r="L29" s="5">
        <v>6.0000000000000001E-3</v>
      </c>
      <c r="M29" s="5">
        <v>7.0000000000000001E-3</v>
      </c>
      <c r="N29" s="5">
        <v>8.0000000000000002E-3</v>
      </c>
      <c r="O29" s="5">
        <v>8.9999999999999993E-3</v>
      </c>
      <c r="P29" s="5">
        <v>0.01</v>
      </c>
      <c r="Q29" s="5">
        <v>1.0999999999999999E-2</v>
      </c>
      <c r="R29" s="5">
        <v>1.2E-2</v>
      </c>
      <c r="S29" s="33">
        <f>SUMPRODUCT(slk1wu14[[#This Row],[1]:[12]]*(slk1wu14[[#This Row],[1]:[12]]&gt;=slk1wu14[[#This Row],[L]]))</f>
        <v>7.8E-2</v>
      </c>
      <c r="T29" s="98">
        <f>IF(slk1wu14[[#This Row],[Name]]="",0,LARGE(slk1wu14[[#This Row],[1]:[12]],$D$2))</f>
        <v>0</v>
      </c>
      <c r="U29" s="91" t="str">
        <f>IF(OR((COUNTIFS(slk1wu14[[#This Row],[1]:[12]],"="&amp;slk1wu14[[#This Row],[L]])=12),(COUNTIFS(slk1wu14[[#This Row],[1]:[12]],"="&amp;slk1wu14[[#This Row],[L]])&lt;2)),"OK","Fehler (zu wenig Streicher) [Gleiche Werte jeweils um 0,1 erhöhen]")</f>
        <v>OK</v>
      </c>
    </row>
    <row r="30" spans="1:36">
      <c r="A30" s="32"/>
      <c r="B30" s="20" t="str">
        <f>IF(slk1wu14[[#This Row],[Name]]="","",_xlfn.RANK.EQ(slk1wu14[[#This Row],[Result]],slk1wu14[Result],0))</f>
        <v/>
      </c>
      <c r="E30" s="2"/>
      <c r="F30" s="20"/>
      <c r="G30" s="5">
        <v>1E-3</v>
      </c>
      <c r="H30" s="5">
        <v>2E-3</v>
      </c>
      <c r="I30" s="5">
        <v>3.0000000000000001E-3</v>
      </c>
      <c r="J30" s="5">
        <v>4.0000000000000001E-3</v>
      </c>
      <c r="K30" s="5">
        <v>5.0000000000000001E-3</v>
      </c>
      <c r="L30" s="5">
        <v>6.0000000000000001E-3</v>
      </c>
      <c r="M30" s="5">
        <v>7.0000000000000001E-3</v>
      </c>
      <c r="N30" s="5">
        <v>8.0000000000000002E-3</v>
      </c>
      <c r="O30" s="5">
        <v>8.9999999999999993E-3</v>
      </c>
      <c r="P30" s="5">
        <v>0.01</v>
      </c>
      <c r="Q30" s="5">
        <v>1.0999999999999999E-2</v>
      </c>
      <c r="R30" s="5">
        <v>1.2E-2</v>
      </c>
      <c r="S30" s="33">
        <f>SUMPRODUCT(slk1wu14[[#This Row],[1]:[12]]*(slk1wu14[[#This Row],[1]:[12]]&gt;=slk1wu14[[#This Row],[L]]))</f>
        <v>7.8E-2</v>
      </c>
      <c r="T30" s="98">
        <f>IF(slk1wu14[[#This Row],[Name]]="",0,LARGE(slk1wu14[[#This Row],[1]:[12]],$D$2))</f>
        <v>0</v>
      </c>
      <c r="U30" s="91" t="str">
        <f>IF(OR((COUNTIFS(slk1wu14[[#This Row],[1]:[12]],"="&amp;slk1wu14[[#This Row],[L]])=12),(COUNTIFS(slk1wu14[[#This Row],[1]:[12]],"="&amp;slk1wu14[[#This Row],[L]])&lt;2)),"OK","Fehler (zu wenig Streicher) [Gleiche Werte jeweils um 0,1 erhöhen]")</f>
        <v>OK</v>
      </c>
    </row>
    <row r="31" spans="1:36">
      <c r="A31" s="32"/>
      <c r="B31" s="20" t="str">
        <f>IF(slk1wu14[[#This Row],[Name]]="","",_xlfn.RANK.EQ(slk1wu14[[#This Row],[Result]],slk1wu14[Result],0))</f>
        <v/>
      </c>
      <c r="E31" s="2"/>
      <c r="F31" s="20"/>
      <c r="G31" s="5">
        <v>1E-3</v>
      </c>
      <c r="H31" s="5">
        <v>2E-3</v>
      </c>
      <c r="I31" s="5">
        <v>3.0000000000000001E-3</v>
      </c>
      <c r="J31" s="5">
        <v>4.0000000000000001E-3</v>
      </c>
      <c r="K31" s="5">
        <v>5.0000000000000001E-3</v>
      </c>
      <c r="L31" s="5">
        <v>6.0000000000000001E-3</v>
      </c>
      <c r="M31" s="5">
        <v>7.0000000000000001E-3</v>
      </c>
      <c r="N31" s="5">
        <v>8.0000000000000002E-3</v>
      </c>
      <c r="O31" s="5">
        <v>8.9999999999999993E-3</v>
      </c>
      <c r="P31" s="5">
        <v>0.01</v>
      </c>
      <c r="Q31" s="5">
        <v>1.0999999999999999E-2</v>
      </c>
      <c r="R31" s="5">
        <v>1.2E-2</v>
      </c>
      <c r="S31" s="33">
        <f>SUMPRODUCT(slk1wu14[[#This Row],[1]:[12]]*(slk1wu14[[#This Row],[1]:[12]]&gt;=slk1wu14[[#This Row],[L]]))</f>
        <v>7.8E-2</v>
      </c>
      <c r="T31" s="98">
        <f>IF(slk1wu14[[#This Row],[Name]]="",0,LARGE(slk1wu14[[#This Row],[1]:[12]],$D$2))</f>
        <v>0</v>
      </c>
      <c r="U31" s="91" t="str">
        <f>IF(OR((COUNTIFS(slk1wu14[[#This Row],[1]:[12]],"="&amp;slk1wu14[[#This Row],[L]])=12),(COUNTIFS(slk1wu14[[#This Row],[1]:[12]],"="&amp;slk1wu14[[#This Row],[L]])&lt;2)),"OK","Fehler (zu wenig Streicher) [Gleiche Werte jeweils um 0,1 erhöhen]")</f>
        <v>OK</v>
      </c>
    </row>
    <row r="32" spans="1:36">
      <c r="A32" s="32"/>
      <c r="B32" s="20" t="str">
        <f>IF(slk1wu14[[#This Row],[Name]]="","",_xlfn.RANK.EQ(slk1wu14[[#This Row],[Result]],slk1wu14[Result],0))</f>
        <v/>
      </c>
      <c r="E32" s="2"/>
      <c r="F32" s="20"/>
      <c r="G32" s="5">
        <v>1E-3</v>
      </c>
      <c r="H32" s="5">
        <v>2E-3</v>
      </c>
      <c r="I32" s="5">
        <v>3.0000000000000001E-3</v>
      </c>
      <c r="J32" s="5">
        <v>4.0000000000000001E-3</v>
      </c>
      <c r="K32" s="5">
        <v>5.0000000000000001E-3</v>
      </c>
      <c r="L32" s="5">
        <v>6.0000000000000001E-3</v>
      </c>
      <c r="M32" s="5">
        <v>7.0000000000000001E-3</v>
      </c>
      <c r="N32" s="5">
        <v>8.0000000000000002E-3</v>
      </c>
      <c r="O32" s="5">
        <v>8.9999999999999993E-3</v>
      </c>
      <c r="P32" s="5">
        <v>0.01</v>
      </c>
      <c r="Q32" s="5">
        <v>1.0999999999999999E-2</v>
      </c>
      <c r="R32" s="5">
        <v>1.2E-2</v>
      </c>
      <c r="S32" s="33">
        <f>SUMPRODUCT(slk1wu14[[#This Row],[1]:[12]]*(slk1wu14[[#This Row],[1]:[12]]&gt;=slk1wu14[[#This Row],[L]]))</f>
        <v>7.8E-2</v>
      </c>
      <c r="T32" s="98">
        <f>IF(slk1wu14[[#This Row],[Name]]="",0,LARGE(slk1wu14[[#This Row],[1]:[12]],$D$2))</f>
        <v>0</v>
      </c>
      <c r="U32" s="91" t="str">
        <f>IF(OR((COUNTIFS(slk1wu14[[#This Row],[1]:[12]],"="&amp;slk1wu14[[#This Row],[L]])=12),(COUNTIFS(slk1wu14[[#This Row],[1]:[12]],"="&amp;slk1wu14[[#This Row],[L]])&lt;2)),"OK","Fehler (zu wenig Streicher) [Gleiche Werte jeweils um 0,1 erhöhen]")</f>
        <v>OK</v>
      </c>
    </row>
    <row r="33" spans="1:21">
      <c r="A33" s="32"/>
      <c r="B33" s="20" t="str">
        <f>IF(slk1wu14[[#This Row],[Name]]="","",_xlfn.RANK.EQ(slk1wu14[[#This Row],[Result]],slk1wu14[Result],0))</f>
        <v/>
      </c>
      <c r="E33" s="2"/>
      <c r="F33" s="20"/>
      <c r="G33" s="5">
        <v>1E-3</v>
      </c>
      <c r="H33" s="5">
        <v>2E-3</v>
      </c>
      <c r="I33" s="5">
        <v>3.0000000000000001E-3</v>
      </c>
      <c r="J33" s="5">
        <v>4.0000000000000001E-3</v>
      </c>
      <c r="K33" s="5">
        <v>5.0000000000000001E-3</v>
      </c>
      <c r="L33" s="5">
        <v>6.0000000000000001E-3</v>
      </c>
      <c r="M33" s="5">
        <v>7.0000000000000001E-3</v>
      </c>
      <c r="N33" s="5">
        <v>8.0000000000000002E-3</v>
      </c>
      <c r="O33" s="5">
        <v>8.9999999999999993E-3</v>
      </c>
      <c r="P33" s="5">
        <v>0.01</v>
      </c>
      <c r="Q33" s="5">
        <v>1.0999999999999999E-2</v>
      </c>
      <c r="R33" s="5">
        <v>1.2E-2</v>
      </c>
      <c r="S33" s="33">
        <f>SUMPRODUCT(slk1wu14[[#This Row],[1]:[12]]*(slk1wu14[[#This Row],[1]:[12]]&gt;=slk1wu14[[#This Row],[L]]))</f>
        <v>7.8E-2</v>
      </c>
      <c r="T33" s="98">
        <f>IF(slk1wu14[[#This Row],[Name]]="",0,LARGE(slk1wu14[[#This Row],[1]:[12]],$D$2))</f>
        <v>0</v>
      </c>
      <c r="U33" s="91" t="str">
        <f>IF(OR((COUNTIFS(slk1wu14[[#This Row],[1]:[12]],"="&amp;slk1wu14[[#This Row],[L]])=12),(COUNTIFS(slk1wu14[[#This Row],[1]:[12]],"="&amp;slk1wu14[[#This Row],[L]])&lt;2)),"OK","Fehler (zu wenig Streicher) [Gleiche Werte jeweils um 0,1 erhöhen]")</f>
        <v>OK</v>
      </c>
    </row>
    <row r="34" spans="1:21">
      <c r="A34" s="32"/>
      <c r="B34" s="20" t="str">
        <f>IF(slk1wu14[[#This Row],[Name]]="","",_xlfn.RANK.EQ(slk1wu14[[#This Row],[Result]],slk1wu14[Result],0))</f>
        <v/>
      </c>
      <c r="E34" s="2"/>
      <c r="F34" s="20"/>
      <c r="G34" s="5">
        <v>1E-3</v>
      </c>
      <c r="H34" s="5">
        <v>2E-3</v>
      </c>
      <c r="I34" s="5">
        <v>3.0000000000000001E-3</v>
      </c>
      <c r="J34" s="5">
        <v>4.0000000000000001E-3</v>
      </c>
      <c r="K34" s="5">
        <v>5.0000000000000001E-3</v>
      </c>
      <c r="L34" s="5">
        <v>6.0000000000000001E-3</v>
      </c>
      <c r="M34" s="5">
        <v>7.0000000000000001E-3</v>
      </c>
      <c r="N34" s="5">
        <v>8.0000000000000002E-3</v>
      </c>
      <c r="O34" s="5">
        <v>8.9999999999999993E-3</v>
      </c>
      <c r="P34" s="5">
        <v>0.01</v>
      </c>
      <c r="Q34" s="5">
        <v>1.0999999999999999E-2</v>
      </c>
      <c r="R34" s="5">
        <v>1.2E-2</v>
      </c>
      <c r="S34" s="33">
        <f>SUMPRODUCT(slk1wu14[[#This Row],[1]:[12]]*(slk1wu14[[#This Row],[1]:[12]]&gt;=slk1wu14[[#This Row],[L]]))</f>
        <v>7.8E-2</v>
      </c>
      <c r="T34" s="98">
        <f>IF(slk1wu14[[#This Row],[Name]]="",0,LARGE(slk1wu14[[#This Row],[1]:[12]],$D$2))</f>
        <v>0</v>
      </c>
      <c r="U34" s="91" t="str">
        <f>IF(OR((COUNTIFS(slk1wu14[[#This Row],[1]:[12]],"="&amp;slk1wu14[[#This Row],[L]])=12),(COUNTIFS(slk1wu14[[#This Row],[1]:[12]],"="&amp;slk1wu14[[#This Row],[L]])&lt;2)),"OK","Fehler (zu wenig Streicher) [Gleiche Werte jeweils um 0,1 erhöhen]")</f>
        <v>OK</v>
      </c>
    </row>
    <row r="35" spans="1:21" ht="12" thickBot="1">
      <c r="A35" s="34"/>
      <c r="B35" s="35" t="str">
        <f>IF(slk1wu14[[#This Row],[Name]]="","",_xlfn.RANK.EQ(slk1wu14[[#This Row],[Result]],slk1wu14[Result],0))</f>
        <v/>
      </c>
      <c r="C35" s="51"/>
      <c r="D35" s="51"/>
      <c r="E35" s="52"/>
      <c r="F35" s="35"/>
      <c r="G35" s="36">
        <v>1E-3</v>
      </c>
      <c r="H35" s="36">
        <v>2E-3</v>
      </c>
      <c r="I35" s="36">
        <v>3.0000000000000001E-3</v>
      </c>
      <c r="J35" s="36">
        <v>4.0000000000000001E-3</v>
      </c>
      <c r="K35" s="36">
        <v>5.0000000000000001E-3</v>
      </c>
      <c r="L35" s="36">
        <v>6.0000000000000001E-3</v>
      </c>
      <c r="M35" s="36">
        <v>7.0000000000000001E-3</v>
      </c>
      <c r="N35" s="36">
        <v>8.0000000000000002E-3</v>
      </c>
      <c r="O35" s="36">
        <v>8.9999999999999993E-3</v>
      </c>
      <c r="P35" s="36">
        <v>0.01</v>
      </c>
      <c r="Q35" s="36">
        <v>1.0999999999999999E-2</v>
      </c>
      <c r="R35" s="36">
        <v>1.2E-2</v>
      </c>
      <c r="S35" s="37">
        <f>SUMPRODUCT(slk1wu14[[#This Row],[1]:[12]]*(slk1wu14[[#This Row],[1]:[12]]&gt;=slk1wu14[[#This Row],[L]]))</f>
        <v>7.8E-2</v>
      </c>
      <c r="T35" s="98">
        <f>IF(slk1wu14[[#This Row],[Name]]="",0,LARGE(slk1wu14[[#This Row],[1]:[12]],$D$2))</f>
        <v>0</v>
      </c>
      <c r="U35" s="91" t="str">
        <f>IF(OR((COUNTIFS(slk1wu14[[#This Row],[1]:[12]],"="&amp;slk1wu14[[#This Row],[L]])=12),(COUNTIFS(slk1wu14[[#This Row],[1]:[12]],"="&amp;slk1wu14[[#This Row],[L]])&lt;2)),"OK","Fehler (zu wenig Streicher) [Gleiche Werte jeweils um 0,1 erhöhen]")</f>
        <v>OK</v>
      </c>
    </row>
  </sheetData>
  <mergeCells count="34">
    <mergeCell ref="I6:J6"/>
    <mergeCell ref="K6:L6"/>
    <mergeCell ref="M6:N6"/>
    <mergeCell ref="AF1:AH1"/>
    <mergeCell ref="I2:J2"/>
    <mergeCell ref="K2:L2"/>
    <mergeCell ref="M2:N2"/>
    <mergeCell ref="O2:P2"/>
    <mergeCell ref="Q2:R2"/>
    <mergeCell ref="T5:T6"/>
    <mergeCell ref="G4:H4"/>
    <mergeCell ref="A2:C5"/>
    <mergeCell ref="O4:P4"/>
    <mergeCell ref="Q4:R4"/>
    <mergeCell ref="M4:N4"/>
    <mergeCell ref="K4:L4"/>
    <mergeCell ref="I4:J4"/>
    <mergeCell ref="G2:H2"/>
    <mergeCell ref="T25:T26"/>
    <mergeCell ref="D2:F5"/>
    <mergeCell ref="K3:L3"/>
    <mergeCell ref="D1:S1"/>
    <mergeCell ref="O6:P6"/>
    <mergeCell ref="Q6:R6"/>
    <mergeCell ref="A26:F26"/>
    <mergeCell ref="G26:H26"/>
    <mergeCell ref="I26:J26"/>
    <mergeCell ref="K26:L26"/>
    <mergeCell ref="M26:N26"/>
    <mergeCell ref="O26:P26"/>
    <mergeCell ref="Q26:R26"/>
    <mergeCell ref="A6:F6"/>
    <mergeCell ref="G6:H6"/>
    <mergeCell ref="A1:C1"/>
  </mergeCells>
  <conditionalFormatting sqref="G28:T35">
    <cfRule type="expression" dxfId="199" priority="7">
      <formula>G28&lt;1</formula>
    </cfRule>
  </conditionalFormatting>
  <conditionalFormatting sqref="G8:R22">
    <cfRule type="expression" dxfId="198" priority="5">
      <formula>G8&lt;$T8</formula>
    </cfRule>
  </conditionalFormatting>
  <conditionalFormatting sqref="G8:T22">
    <cfRule type="expression" dxfId="197" priority="3">
      <formula>G8&lt;1</formula>
    </cfRule>
  </conditionalFormatting>
  <conditionalFormatting sqref="G8:S22">
    <cfRule type="expression" dxfId="196" priority="4">
      <formula>G8&gt;=$T8</formula>
    </cfRule>
  </conditionalFormatting>
  <conditionalFormatting sqref="G28:S35">
    <cfRule type="expression" dxfId="195" priority="52">
      <formula>G28&gt;=$T28</formula>
    </cfRule>
  </conditionalFormatting>
  <conditionalFormatting sqref="G28:R35">
    <cfRule type="expression" dxfId="194" priority="53">
      <formula>G28&lt;$T28</formula>
    </cfRule>
  </conditionalFormatting>
  <pageMargins left="0.70866141732283472" right="0.70866141732283472" top="0.78740157480314965" bottom="0.78740157480314965" header="0.31496062992125984" footer="0.31496062992125984"/>
  <pageSetup paperSize="9" scale="68" fitToHeight="3" orientation="portrait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8932C-6808-4C97-8CFF-C4FCF1219EDA}">
  <sheetPr codeName="Tabelle7"/>
  <dimension ref="A1:AO40"/>
  <sheetViews>
    <sheetView topLeftCell="A4" zoomScaleNormal="100" workbookViewId="0">
      <selection activeCell="D45" sqref="D45"/>
    </sheetView>
  </sheetViews>
  <sheetFormatPr defaultColWidth="11.42578125" defaultRowHeight="11.25"/>
  <cols>
    <col min="1" max="1" width="21.140625" style="2" customWidth="1"/>
    <col min="2" max="2" width="5.85546875" style="2" customWidth="1"/>
    <col min="3" max="4" width="15.7109375" style="1" customWidth="1"/>
    <col min="5" max="5" width="15.7109375" style="20" customWidth="1"/>
    <col min="6" max="6" width="4.7109375" style="2" customWidth="1"/>
    <col min="7" max="15" width="4" style="2" customWidth="1"/>
    <col min="16" max="16" width="4.85546875" style="1" customWidth="1"/>
    <col min="17" max="17" width="4.85546875" style="20" customWidth="1"/>
    <col min="18" max="18" width="4.85546875" style="1" customWidth="1"/>
    <col min="19" max="19" width="7.7109375" style="1" customWidth="1"/>
    <col min="20" max="20" width="3.85546875" style="1" customWidth="1"/>
    <col min="21" max="21" width="5.7109375" style="1" customWidth="1"/>
    <col min="22" max="22" width="6.7109375" style="1" customWidth="1"/>
    <col min="23" max="39" width="3.28515625" style="1" customWidth="1"/>
    <col min="40" max="40" width="6.42578125" style="4" customWidth="1"/>
    <col min="41" max="41" width="3.28515625" style="4" customWidth="1"/>
    <col min="42" max="42" width="11.42578125" style="1"/>
    <col min="43" max="43" width="8.7109375" style="1" customWidth="1"/>
    <col min="44" max="44" width="6.85546875" style="1" customWidth="1"/>
    <col min="45" max="45" width="8.42578125" style="1" customWidth="1"/>
    <col min="46" max="16384" width="11.42578125" style="1"/>
  </cols>
  <sheetData>
    <row r="1" spans="1:41" ht="60" customHeight="1" thickBot="1">
      <c r="A1" s="189" t="s">
        <v>0</v>
      </c>
      <c r="B1" s="190"/>
      <c r="C1" s="190"/>
      <c r="D1" s="187" t="s">
        <v>1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8"/>
      <c r="R1" s="109"/>
      <c r="S1" s="110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191"/>
      <c r="AL1" s="191"/>
      <c r="AM1" s="191"/>
    </row>
    <row r="2" spans="1:41" s="3" customFormat="1" ht="30" customHeight="1">
      <c r="A2" s="219" t="s">
        <v>111</v>
      </c>
      <c r="B2" s="220"/>
      <c r="C2" s="220"/>
      <c r="D2" s="196">
        <v>8</v>
      </c>
      <c r="E2" s="196"/>
      <c r="F2" s="197"/>
      <c r="G2" s="200" t="s">
        <v>3</v>
      </c>
      <c r="H2" s="201"/>
      <c r="I2" s="202" t="s">
        <v>95</v>
      </c>
      <c r="J2" s="203"/>
      <c r="K2" s="202" t="s">
        <v>3</v>
      </c>
      <c r="L2" s="203"/>
      <c r="M2" s="202" t="s">
        <v>3</v>
      </c>
      <c r="N2" s="203"/>
      <c r="O2" s="204" t="s">
        <v>3</v>
      </c>
      <c r="P2" s="205"/>
      <c r="Q2" s="38"/>
      <c r="R2" s="85"/>
      <c r="S2" s="157"/>
    </row>
    <row r="3" spans="1:41" s="3" customFormat="1" ht="75" customHeight="1">
      <c r="A3" s="221"/>
      <c r="B3" s="222"/>
      <c r="C3" s="222"/>
      <c r="D3" s="198"/>
      <c r="E3" s="198"/>
      <c r="F3" s="199"/>
      <c r="G3" s="206"/>
      <c r="H3" s="207"/>
      <c r="I3" s="208"/>
      <c r="J3" s="209"/>
      <c r="K3" s="208"/>
      <c r="L3" s="209"/>
      <c r="M3" s="208"/>
      <c r="N3" s="209"/>
      <c r="O3" s="210" t="s">
        <v>4</v>
      </c>
      <c r="P3" s="211"/>
      <c r="Q3" s="39"/>
      <c r="R3" s="85"/>
      <c r="S3" s="157"/>
    </row>
    <row r="4" spans="1:41" s="3" customFormat="1" ht="39.950000000000003" customHeight="1">
      <c r="A4" s="221"/>
      <c r="B4" s="222"/>
      <c r="C4" s="222"/>
      <c r="D4" s="198"/>
      <c r="E4" s="198"/>
      <c r="F4" s="199"/>
      <c r="G4" s="247" t="s">
        <v>5</v>
      </c>
      <c r="H4" s="248"/>
      <c r="I4" s="212" t="s">
        <v>112</v>
      </c>
      <c r="J4" s="213"/>
      <c r="K4" s="212" t="s">
        <v>113</v>
      </c>
      <c r="L4" s="213"/>
      <c r="M4" s="212" t="s">
        <v>7</v>
      </c>
      <c r="N4" s="213"/>
      <c r="O4" s="210" t="s">
        <v>114</v>
      </c>
      <c r="P4" s="211"/>
      <c r="Q4" s="39"/>
      <c r="R4" s="85"/>
      <c r="S4" s="157"/>
    </row>
    <row r="5" spans="1:41" s="3" customFormat="1" ht="90" customHeight="1">
      <c r="A5" s="221"/>
      <c r="B5" s="222"/>
      <c r="C5" s="222"/>
      <c r="D5" s="198"/>
      <c r="E5" s="198"/>
      <c r="F5" s="199"/>
      <c r="G5" s="131" t="s">
        <v>9</v>
      </c>
      <c r="H5" s="132" t="s">
        <v>10</v>
      </c>
      <c r="I5" s="111" t="s">
        <v>115</v>
      </c>
      <c r="J5" s="122" t="s">
        <v>116</v>
      </c>
      <c r="K5" s="111" t="s">
        <v>11</v>
      </c>
      <c r="L5" s="122" t="s">
        <v>12</v>
      </c>
      <c r="M5" s="111" t="s">
        <v>13</v>
      </c>
      <c r="N5" s="122" t="s">
        <v>14</v>
      </c>
      <c r="O5" s="113" t="s">
        <v>15</v>
      </c>
      <c r="P5" s="114" t="s">
        <v>16</v>
      </c>
      <c r="Q5" s="39"/>
      <c r="R5" s="186" t="s">
        <v>17</v>
      </c>
      <c r="S5" s="157"/>
    </row>
    <row r="6" spans="1:41" s="3" customFormat="1" ht="24.95" customHeight="1" thickBot="1">
      <c r="A6" s="176" t="s">
        <v>18</v>
      </c>
      <c r="B6" s="177"/>
      <c r="C6" s="177"/>
      <c r="D6" s="177"/>
      <c r="E6" s="177"/>
      <c r="F6" s="214"/>
      <c r="G6" s="65"/>
      <c r="H6" s="66"/>
      <c r="I6" s="67"/>
      <c r="J6" s="68"/>
      <c r="K6" s="67"/>
      <c r="L6" s="68"/>
      <c r="M6" s="67"/>
      <c r="N6" s="68"/>
      <c r="O6" s="45"/>
      <c r="P6" s="10"/>
      <c r="Q6" s="160"/>
      <c r="R6" s="186"/>
      <c r="S6" s="157"/>
    </row>
    <row r="7" spans="1:41" s="4" customFormat="1" ht="11.25" customHeight="1">
      <c r="A7" s="149" t="s">
        <v>19</v>
      </c>
      <c r="B7" s="4" t="s">
        <v>20</v>
      </c>
      <c r="C7" s="4" t="s">
        <v>21</v>
      </c>
      <c r="D7" s="4" t="s">
        <v>22</v>
      </c>
      <c r="E7" s="4" t="s">
        <v>23</v>
      </c>
      <c r="F7" s="4" t="s">
        <v>24</v>
      </c>
      <c r="G7" s="4" t="s">
        <v>25</v>
      </c>
      <c r="H7" s="4" t="s">
        <v>26</v>
      </c>
      <c r="I7" s="4" t="s">
        <v>27</v>
      </c>
      <c r="J7" s="4" t="s">
        <v>28</v>
      </c>
      <c r="K7" s="4" t="s">
        <v>29</v>
      </c>
      <c r="L7" s="4" t="s">
        <v>30</v>
      </c>
      <c r="M7" s="4" t="s">
        <v>31</v>
      </c>
      <c r="N7" s="4" t="s">
        <v>32</v>
      </c>
      <c r="O7" s="4" t="s">
        <v>102</v>
      </c>
      <c r="P7" s="4" t="s">
        <v>103</v>
      </c>
      <c r="Q7" s="43" t="s">
        <v>33</v>
      </c>
      <c r="R7" s="83" t="s">
        <v>34</v>
      </c>
      <c r="S7" s="158" t="s">
        <v>35</v>
      </c>
      <c r="T7" s="17"/>
      <c r="U7" s="17"/>
    </row>
    <row r="8" spans="1:41" ht="11.25" customHeight="1">
      <c r="A8" s="32"/>
      <c r="B8" s="20">
        <f>IF(spk1mu18[[#This Row],[Name]]="","",_xlfn.RANK.EQ(spk1mu18[[#This Row],[Result]],_xlnm.Criteria,0))</f>
        <v>1</v>
      </c>
      <c r="C8" s="1" t="s">
        <v>117</v>
      </c>
      <c r="D8" s="1" t="s">
        <v>118</v>
      </c>
      <c r="E8" s="2" t="s">
        <v>79</v>
      </c>
      <c r="F8" s="20" t="s">
        <v>39</v>
      </c>
      <c r="G8" s="5">
        <v>1E-3</v>
      </c>
      <c r="H8" s="5">
        <v>2E-3</v>
      </c>
      <c r="I8" s="5">
        <v>3.0000000000000001E-3</v>
      </c>
      <c r="J8" s="5">
        <v>4.0000000000000001E-3</v>
      </c>
      <c r="K8" s="5">
        <v>5.0000000000000001E-3</v>
      </c>
      <c r="L8" s="5">
        <v>6.0000000000000001E-3</v>
      </c>
      <c r="M8" s="5">
        <v>20</v>
      </c>
      <c r="N8" s="5">
        <v>25</v>
      </c>
      <c r="O8" s="5">
        <v>20</v>
      </c>
      <c r="P8" s="5">
        <v>20</v>
      </c>
      <c r="Q8" s="33">
        <f>SUMPRODUCT(spk1mu18[[#This Row],[1]:[10]]*(spk1mu18[[#This Row],[1]:[10]]&gt;=spk1mu18[[#This Row],[L]]))</f>
        <v>85.018000000000001</v>
      </c>
      <c r="R8" s="99">
        <f>IF(spk1mu18[[#This Row],[Name]]="",0,LARGE(spk1mu18[[#This Row],[1]:[10]],$D$2))</f>
        <v>3.0000000000000001E-3</v>
      </c>
      <c r="S8" s="88" t="str">
        <f>IF(OR((COUNTIFS(spk1mu18[[#This Row],[1]:[10]],"="&amp;spk1mu18[[#This Row],[L]])=10),(COUNTIFS(spk1mu18[[#This Row],[1]:[10]],"="&amp;spk1mu18[[#This Row],[L]])&lt;2)),"OK","Fehler (zu wenig Streicher) [Gleiche Werte jeweils um 0,1 erhöhen]")</f>
        <v>OK</v>
      </c>
      <c r="T8" s="6"/>
      <c r="U8" s="2"/>
      <c r="V8" s="4"/>
      <c r="AN8" s="1"/>
      <c r="AO8" s="1"/>
    </row>
    <row r="9" spans="1:41" ht="11.25" customHeight="1">
      <c r="A9" s="32"/>
      <c r="B9" s="20">
        <f>IF(spk1mu18[[#This Row],[Name]]="","",_xlfn.RANK.EQ(spk1mu18[[#This Row],[Result]],_xlnm.Criteria,0))</f>
        <v>2</v>
      </c>
      <c r="C9" s="1" t="s">
        <v>119</v>
      </c>
      <c r="D9" s="1" t="s">
        <v>90</v>
      </c>
      <c r="E9" s="2" t="s">
        <v>91</v>
      </c>
      <c r="F9" s="20" t="s">
        <v>39</v>
      </c>
      <c r="G9" s="5">
        <v>25</v>
      </c>
      <c r="H9" s="5">
        <v>25</v>
      </c>
      <c r="I9" s="5">
        <v>3.0000000000000001E-3</v>
      </c>
      <c r="J9" s="5">
        <v>4.0000000000000001E-3</v>
      </c>
      <c r="K9" s="5">
        <v>5.0000000000000001E-3</v>
      </c>
      <c r="L9" s="5">
        <v>6.0000000000000001E-3</v>
      </c>
      <c r="M9" s="5">
        <v>7.0000000000000001E-3</v>
      </c>
      <c r="N9" s="5">
        <v>8.0000000000000002E-3</v>
      </c>
      <c r="O9" s="5">
        <v>15</v>
      </c>
      <c r="P9" s="5">
        <v>15</v>
      </c>
      <c r="Q9" s="33">
        <f>SUMPRODUCT(spk1mu18[[#This Row],[1]:[10]]*(spk1mu18[[#This Row],[1]:[10]]&gt;=spk1mu18[[#This Row],[L]]))</f>
        <v>80.02600000000001</v>
      </c>
      <c r="R9" s="98">
        <f>IF(spk1mu18[[#This Row],[Name]]="",0,LARGE(spk1mu18[[#This Row],[1]:[10]],$D$2))</f>
        <v>5.0000000000000001E-3</v>
      </c>
      <c r="S9" s="6" t="str">
        <f>IF(OR((COUNTIFS(spk1mu18[[#This Row],[1]:[10]],"="&amp;spk1mu18[[#This Row],[L]])=10),(COUNTIFS(spk1mu18[[#This Row],[1]:[10]],"="&amp;spk1mu18[[#This Row],[L]])&lt;2)),"OK","Fehler (zu wenig Streicher) [Gleiche Werte jeweils um 0,1 erhöhen]")</f>
        <v>OK</v>
      </c>
      <c r="U9" s="2"/>
      <c r="AN9" s="1"/>
      <c r="AO9" s="1"/>
    </row>
    <row r="10" spans="1:41" ht="11.25" customHeight="1">
      <c r="A10" s="32"/>
      <c r="B10" s="20">
        <f>IF(spk1mu18[[#This Row],[Name]]="","",_xlfn.RANK.EQ(spk1mu18[[#This Row],[Result]],_xlnm.Criteria,0))</f>
        <v>3</v>
      </c>
      <c r="C10" s="1" t="s">
        <v>80</v>
      </c>
      <c r="D10" s="1" t="s">
        <v>120</v>
      </c>
      <c r="E10" s="2" t="s">
        <v>79</v>
      </c>
      <c r="F10" s="20" t="s">
        <v>39</v>
      </c>
      <c r="G10" s="5">
        <v>1E-3</v>
      </c>
      <c r="H10" s="5">
        <v>2E-3</v>
      </c>
      <c r="I10" s="5">
        <v>3.0000000000000001E-3</v>
      </c>
      <c r="J10" s="5">
        <v>4.0000000000000001E-3</v>
      </c>
      <c r="K10" s="5">
        <v>5.0000000000000001E-3</v>
      </c>
      <c r="L10" s="5">
        <v>6.0000000000000001E-3</v>
      </c>
      <c r="M10" s="5">
        <v>25</v>
      </c>
      <c r="N10" s="5">
        <v>20</v>
      </c>
      <c r="O10" s="5">
        <v>12</v>
      </c>
      <c r="P10" s="5">
        <v>11</v>
      </c>
      <c r="Q10" s="33">
        <f>SUMPRODUCT(spk1mu18[[#This Row],[1]:[10]]*(spk1mu18[[#This Row],[1]:[10]]&gt;=spk1mu18[[#This Row],[L]]))</f>
        <v>68.018000000000001</v>
      </c>
      <c r="R10" s="99">
        <f>IF(spk1mu18[[#This Row],[Name]]="",0,LARGE(spk1mu18[[#This Row],[1]:[10]],$D$2))</f>
        <v>3.0000000000000001E-3</v>
      </c>
      <c r="S10" s="88" t="str">
        <f>IF(OR((COUNTIFS(spk1mu18[[#This Row],[1]:[10]],"="&amp;spk1mu18[[#This Row],[L]])=10),(COUNTIFS(spk1mu18[[#This Row],[1]:[10]],"="&amp;spk1mu18[[#This Row],[L]])&lt;2)),"OK","Fehler (zu wenig Streicher) [Gleiche Werte jeweils um 0,1 erhöhen]")</f>
        <v>OK</v>
      </c>
      <c r="T10" s="6"/>
      <c r="U10" s="2"/>
      <c r="AN10" s="1"/>
      <c r="AO10" s="1"/>
    </row>
    <row r="11" spans="1:41" ht="11.25" customHeight="1">
      <c r="A11" s="32"/>
      <c r="B11" s="20">
        <f>IF(spk1mu18[[#This Row],[Name]]="","",_xlfn.RANK.EQ(spk1mu18[[#This Row],[Result]],_xlnm.Criteria,0))</f>
        <v>4</v>
      </c>
      <c r="C11" s="1" t="s">
        <v>121</v>
      </c>
      <c r="D11" s="1" t="s">
        <v>122</v>
      </c>
      <c r="E11" s="2" t="s">
        <v>38</v>
      </c>
      <c r="F11" s="20" t="s">
        <v>39</v>
      </c>
      <c r="G11" s="5">
        <v>1E-3</v>
      </c>
      <c r="H11" s="5">
        <v>2E-3</v>
      </c>
      <c r="I11" s="5">
        <v>3.0000000000000001E-3</v>
      </c>
      <c r="J11" s="5">
        <v>4.0000000000000001E-3</v>
      </c>
      <c r="K11" s="5">
        <v>5.0000000000000001E-3</v>
      </c>
      <c r="L11" s="5">
        <v>6.0000000000000001E-3</v>
      </c>
      <c r="M11" s="5">
        <v>7.0000000000000001E-3</v>
      </c>
      <c r="N11" s="5">
        <v>8.0000000000000002E-3</v>
      </c>
      <c r="O11" s="5">
        <v>25</v>
      </c>
      <c r="P11" s="5">
        <v>25</v>
      </c>
      <c r="Q11" s="33">
        <f>SUMPRODUCT(spk1mu18[[#This Row],[1]:[10]]*(spk1mu18[[#This Row],[1]:[10]]&gt;=spk1mu18[[#This Row],[L]]))</f>
        <v>50.033000000000001</v>
      </c>
      <c r="R11" s="99">
        <f>IF(spk1mu18[[#This Row],[Name]]="",0,LARGE(spk1mu18[[#This Row],[1]:[10]],$D$2))</f>
        <v>3.0000000000000001E-3</v>
      </c>
      <c r="S11" s="88" t="str">
        <f>IF(OR((COUNTIFS(spk1mu18[[#This Row],[1]:[10]],"="&amp;spk1mu18[[#This Row],[L]])=10),(COUNTIFS(spk1mu18[[#This Row],[1]:[10]],"="&amp;spk1mu18[[#This Row],[L]])&lt;2)),"OK","Fehler (zu wenig Streicher) [Gleiche Werte jeweils um 0,1 erhöhen]")</f>
        <v>OK</v>
      </c>
      <c r="U11" s="2"/>
      <c r="AN11" s="1"/>
      <c r="AO11" s="1"/>
    </row>
    <row r="12" spans="1:41" ht="11.25" customHeight="1">
      <c r="A12" s="32"/>
      <c r="B12" s="20">
        <f>IF(spk1mu18[[#This Row],[Name]]="","",_xlfn.RANK.EQ(spk1mu18[[#This Row],[Result]],_xlnm.Criteria,0))</f>
        <v>5</v>
      </c>
      <c r="C12" s="1" t="s">
        <v>77</v>
      </c>
      <c r="D12" s="1" t="s">
        <v>123</v>
      </c>
      <c r="E12" s="2" t="s">
        <v>76</v>
      </c>
      <c r="F12" s="20" t="s">
        <v>39</v>
      </c>
      <c r="G12" s="5">
        <v>1E-3</v>
      </c>
      <c r="H12" s="5">
        <v>2E-3</v>
      </c>
      <c r="I12" s="5">
        <v>3.0000000000000001E-3</v>
      </c>
      <c r="J12" s="5">
        <v>4.0000000000000001E-3</v>
      </c>
      <c r="K12" s="5">
        <v>5.0000000000000001E-3</v>
      </c>
      <c r="L12" s="5">
        <v>6.0000000000000001E-3</v>
      </c>
      <c r="M12" s="5">
        <v>7.0000000000000001E-3</v>
      </c>
      <c r="N12" s="5">
        <v>8.0000000000000002E-3</v>
      </c>
      <c r="O12" s="5">
        <v>11</v>
      </c>
      <c r="P12" s="5">
        <v>12</v>
      </c>
      <c r="Q12" s="33">
        <f>SUMPRODUCT(spk1mu18[[#This Row],[1]:[10]]*(spk1mu18[[#This Row],[1]:[10]]&gt;=spk1mu18[[#This Row],[L]]))</f>
        <v>23.033000000000001</v>
      </c>
      <c r="R12" s="99">
        <f>IF(spk1mu18[[#This Row],[Name]]="",0,LARGE(spk1mu18[[#This Row],[1]:[10]],$D$2))</f>
        <v>3.0000000000000001E-3</v>
      </c>
      <c r="S12" s="88" t="str">
        <f>IF(OR((COUNTIFS(spk1mu18[[#This Row],[1]:[10]],"="&amp;spk1mu18[[#This Row],[L]])=10),(COUNTIFS(spk1mu18[[#This Row],[1]:[10]],"="&amp;spk1mu18[[#This Row],[L]])&lt;2)),"OK","Fehler (zu wenig Streicher) [Gleiche Werte jeweils um 0,1 erhöhen]")</f>
        <v>OK</v>
      </c>
      <c r="U12" s="18"/>
      <c r="AN12" s="1"/>
      <c r="AO12" s="1"/>
    </row>
    <row r="13" spans="1:41" ht="11.25" customHeight="1">
      <c r="A13" s="32"/>
      <c r="B13" s="20">
        <f>IF(spk1mu18[[#This Row],[Name]]="","",_xlfn.RANK.EQ(spk1mu18[[#This Row],[Result]],_xlnm.Criteria,0))</f>
        <v>6</v>
      </c>
      <c r="C13" s="1" t="s">
        <v>124</v>
      </c>
      <c r="D13" s="1" t="s">
        <v>125</v>
      </c>
      <c r="E13" s="2" t="s">
        <v>43</v>
      </c>
      <c r="F13" s="20" t="s">
        <v>39</v>
      </c>
      <c r="G13" s="5">
        <v>1E-3</v>
      </c>
      <c r="H13" s="5">
        <v>2E-3</v>
      </c>
      <c r="I13" s="5">
        <v>3.0000000000000001E-3</v>
      </c>
      <c r="J13" s="5">
        <v>4.0000000000000001E-3</v>
      </c>
      <c r="K13" s="5">
        <v>5.0000000000000001E-3</v>
      </c>
      <c r="L13" s="5">
        <v>6.0000000000000001E-3</v>
      </c>
      <c r="M13" s="5">
        <v>7.0000000000000001E-3</v>
      </c>
      <c r="N13" s="5">
        <v>8.0000000000000002E-3</v>
      </c>
      <c r="O13" s="5">
        <v>8</v>
      </c>
      <c r="P13" s="5">
        <v>10</v>
      </c>
      <c r="Q13" s="33">
        <f>SUMPRODUCT(spk1mu18[[#This Row],[1]:[10]]*(spk1mu18[[#This Row],[1]:[10]]&gt;=spk1mu18[[#This Row],[L]]))</f>
        <v>18.033000000000001</v>
      </c>
      <c r="R13" s="99">
        <f>IF(spk1mu18[[#This Row],[Name]]="",0,LARGE(spk1mu18[[#This Row],[1]:[10]],$D$2))</f>
        <v>3.0000000000000001E-3</v>
      </c>
      <c r="S13" s="88" t="str">
        <f>IF(OR((COUNTIFS(spk1mu18[[#This Row],[1]:[10]],"="&amp;spk1mu18[[#This Row],[L]])=10),(COUNTIFS(spk1mu18[[#This Row],[1]:[10]],"="&amp;spk1mu18[[#This Row],[L]])&lt;2)),"OK","Fehler (zu wenig Streicher) [Gleiche Werte jeweils um 0,1 erhöhen]")</f>
        <v>OK</v>
      </c>
      <c r="U13" s="19"/>
      <c r="V13" s="4"/>
      <c r="AN13" s="1"/>
      <c r="AO13" s="1"/>
    </row>
    <row r="14" spans="1:41" ht="11.25" customHeight="1">
      <c r="A14" s="32"/>
      <c r="B14" s="20">
        <f>IF(spk1mu18[[#This Row],[Name]]="","",_xlfn.RANK.EQ(spk1mu18[[#This Row],[Result]],_xlnm.Criteria,0))</f>
        <v>6</v>
      </c>
      <c r="C14" s="1" t="s">
        <v>126</v>
      </c>
      <c r="D14" s="1" t="s">
        <v>37</v>
      </c>
      <c r="E14" s="2" t="s">
        <v>38</v>
      </c>
      <c r="F14" s="20" t="s">
        <v>39</v>
      </c>
      <c r="G14" s="5">
        <v>1E-3</v>
      </c>
      <c r="H14" s="5">
        <v>2E-3</v>
      </c>
      <c r="I14" s="5">
        <v>3.0000000000000001E-3</v>
      </c>
      <c r="J14" s="5">
        <v>4.0000000000000001E-3</v>
      </c>
      <c r="K14" s="5">
        <v>5.0000000000000001E-3</v>
      </c>
      <c r="L14" s="5">
        <v>6.0000000000000001E-3</v>
      </c>
      <c r="M14" s="5">
        <v>7.0000000000000001E-3</v>
      </c>
      <c r="N14" s="5">
        <v>8.0000000000000002E-3</v>
      </c>
      <c r="O14" s="5">
        <v>9</v>
      </c>
      <c r="P14" s="5">
        <v>9</v>
      </c>
      <c r="Q14" s="33">
        <f>SUMPRODUCT(spk1mu18[[#This Row],[1]:[10]]*(spk1mu18[[#This Row],[1]:[10]]&gt;=spk1mu18[[#This Row],[L]]))</f>
        <v>18.033000000000001</v>
      </c>
      <c r="R14" s="99">
        <f>IF(spk1mu18[[#This Row],[Name]]="",0,LARGE(spk1mu18[[#This Row],[1]:[10]],$D$2))</f>
        <v>3.0000000000000001E-3</v>
      </c>
      <c r="S14" s="88" t="str">
        <f>IF(OR((COUNTIFS(spk1mu18[[#This Row],[1]:[10]],"="&amp;spk1mu18[[#This Row],[L]])=10),(COUNTIFS(spk1mu18[[#This Row],[1]:[10]],"="&amp;spk1mu18[[#This Row],[L]])&lt;2)),"OK","Fehler (zu wenig Streicher) [Gleiche Werte jeweils um 0,1 erhöhen]")</f>
        <v>OK</v>
      </c>
      <c r="AN14" s="1"/>
      <c r="AO14" s="1"/>
    </row>
    <row r="15" spans="1:41" ht="11.25" customHeight="1">
      <c r="A15" s="32"/>
      <c r="B15" s="20">
        <f>IF(spk1mu18[[#This Row],[Name]]="","",_xlfn.RANK.EQ(spk1mu18[[#This Row],[Result]],_xlnm.Criteria,0))</f>
        <v>8</v>
      </c>
      <c r="C15" s="1" t="s">
        <v>127</v>
      </c>
      <c r="D15" s="1" t="s">
        <v>128</v>
      </c>
      <c r="E15" s="2" t="s">
        <v>38</v>
      </c>
      <c r="F15" s="20" t="s">
        <v>39</v>
      </c>
      <c r="G15" s="5">
        <v>1E-3</v>
      </c>
      <c r="H15" s="5">
        <v>2E-3</v>
      </c>
      <c r="I15" s="5">
        <v>3.0000000000000001E-3</v>
      </c>
      <c r="J15" s="5">
        <v>4.0000000000000001E-3</v>
      </c>
      <c r="K15" s="5">
        <v>5.0000000000000001E-3</v>
      </c>
      <c r="L15" s="5">
        <v>6.0000000000000001E-3</v>
      </c>
      <c r="M15" s="5">
        <v>7.0000000000000001E-3</v>
      </c>
      <c r="N15" s="5">
        <v>8.0000000000000002E-3</v>
      </c>
      <c r="O15" s="5">
        <v>10</v>
      </c>
      <c r="P15" s="5">
        <v>0</v>
      </c>
      <c r="Q15" s="33">
        <f>SUMPRODUCT(spk1mu18[[#This Row],[1]:[10]]*(spk1mu18[[#This Row],[1]:[10]]&gt;=spk1mu18[[#This Row],[L]]))</f>
        <v>10.035</v>
      </c>
      <c r="R15" s="99">
        <f>IF(spk1mu18[[#This Row],[Name]]="",0,LARGE(spk1mu18[[#This Row],[1]:[10]],$D$2))</f>
        <v>2E-3</v>
      </c>
      <c r="S15" s="88" t="str">
        <f>IF(OR((COUNTIFS(spk1mu18[[#This Row],[1]:[10]],"="&amp;spk1mu18[[#This Row],[L]])=10),(COUNTIFS(spk1mu18[[#This Row],[1]:[10]],"="&amp;spk1mu18[[#This Row],[L]])&lt;2)),"OK","Fehler (zu wenig Streicher) [Gleiche Werte jeweils um 0,1 erhöhen]")</f>
        <v>OK</v>
      </c>
      <c r="AN15" s="1"/>
      <c r="AO15" s="1"/>
    </row>
    <row r="16" spans="1:41" ht="11.25" hidden="1" customHeight="1">
      <c r="A16" s="32"/>
      <c r="B16" s="20" t="str">
        <f>IF(spk1mu18[[#This Row],[Name]]="","",_xlfn.RANK.EQ(spk1mu18[[#This Row],[Result]],_xlnm.Criteria,0))</f>
        <v/>
      </c>
      <c r="E16" s="2"/>
      <c r="F16" s="20"/>
      <c r="G16" s="5">
        <v>1E-3</v>
      </c>
      <c r="H16" s="5">
        <v>2E-3</v>
      </c>
      <c r="I16" s="5">
        <v>3.0000000000000001E-3</v>
      </c>
      <c r="J16" s="5">
        <v>4.0000000000000001E-3</v>
      </c>
      <c r="K16" s="5">
        <v>5.0000000000000001E-3</v>
      </c>
      <c r="L16" s="5">
        <v>6.0000000000000001E-3</v>
      </c>
      <c r="M16" s="5">
        <v>7.0000000000000001E-3</v>
      </c>
      <c r="N16" s="5">
        <v>8.0000000000000002E-3</v>
      </c>
      <c r="O16" s="5">
        <v>8.9999999999999993E-3</v>
      </c>
      <c r="P16" s="5">
        <v>0.01</v>
      </c>
      <c r="Q16" s="33">
        <f>SUMPRODUCT(spk1mu18[[#This Row],[1]:[10]]*(spk1mu18[[#This Row],[1]:[10]]&gt;=spk1mu18[[#This Row],[L]]))</f>
        <v>5.5E-2</v>
      </c>
      <c r="R16" s="99">
        <f>IF(spk1mu18[[#This Row],[Name]]="",0,LARGE(spk1mu18[[#This Row],[1]:[10]],$D$2))</f>
        <v>0</v>
      </c>
      <c r="S16" s="88" t="str">
        <f>IF(OR((COUNTIFS(spk1mu18[[#This Row],[1]:[10]],"="&amp;spk1mu18[[#This Row],[L]])=10),(COUNTIFS(spk1mu18[[#This Row],[1]:[10]],"="&amp;spk1mu18[[#This Row],[L]])&lt;2)),"OK","Fehler (zu wenig Streicher) [Gleiche Werte jeweils um 0,1 erhöhen]")</f>
        <v>OK</v>
      </c>
      <c r="AN16" s="1"/>
      <c r="AO16" s="1"/>
    </row>
    <row r="17" spans="1:41" ht="11.25" hidden="1" customHeight="1">
      <c r="A17" s="32"/>
      <c r="B17" s="20" t="str">
        <f>IF(spk1mu18[[#This Row],[Name]]="","",_xlfn.RANK.EQ(spk1mu18[[#This Row],[Result]],_xlnm.Criteria,0))</f>
        <v/>
      </c>
      <c r="E17" s="2"/>
      <c r="F17" s="20"/>
      <c r="G17" s="5">
        <v>1E-3</v>
      </c>
      <c r="H17" s="5">
        <v>2E-3</v>
      </c>
      <c r="I17" s="5">
        <v>3.0000000000000001E-3</v>
      </c>
      <c r="J17" s="5">
        <v>4.0000000000000001E-3</v>
      </c>
      <c r="K17" s="5">
        <v>5.0000000000000001E-3</v>
      </c>
      <c r="L17" s="5">
        <v>6.0000000000000001E-3</v>
      </c>
      <c r="M17" s="5">
        <v>7.0000000000000001E-3</v>
      </c>
      <c r="N17" s="5">
        <v>8.0000000000000002E-3</v>
      </c>
      <c r="O17" s="5">
        <v>8.9999999999999993E-3</v>
      </c>
      <c r="P17" s="5">
        <v>0.01</v>
      </c>
      <c r="Q17" s="33">
        <f>SUMPRODUCT(spk1mu18[[#This Row],[1]:[10]]*(spk1mu18[[#This Row],[1]:[10]]&gt;=spk1mu18[[#This Row],[L]]))</f>
        <v>5.5E-2</v>
      </c>
      <c r="R17" s="99">
        <f>IF(spk1mu18[[#This Row],[Name]]="",0,LARGE(spk1mu18[[#This Row],[1]:[10]],$D$2))</f>
        <v>0</v>
      </c>
      <c r="S17" s="88" t="str">
        <f>IF(OR((COUNTIFS(spk1mu18[[#This Row],[1]:[10]],"="&amp;spk1mu18[[#This Row],[L]])=10),(COUNTIFS(spk1mu18[[#This Row],[1]:[10]],"="&amp;spk1mu18[[#This Row],[L]])&lt;2)),"OK","Fehler (zu wenig Streicher) [Gleiche Werte jeweils um 0,1 erhöhen]")</f>
        <v>OK</v>
      </c>
      <c r="AN17" s="1"/>
      <c r="AO17" s="1"/>
    </row>
    <row r="18" spans="1:41" ht="11.25" hidden="1" customHeight="1">
      <c r="A18" s="32"/>
      <c r="B18" s="20" t="str">
        <f>IF(spk1mu18[[#This Row],[Name]]="","",_xlfn.RANK.EQ(spk1mu18[[#This Row],[Result]],_xlnm.Criteria,0))</f>
        <v/>
      </c>
      <c r="E18" s="2"/>
      <c r="F18" s="20"/>
      <c r="G18" s="5">
        <v>1E-3</v>
      </c>
      <c r="H18" s="5">
        <v>2E-3</v>
      </c>
      <c r="I18" s="5">
        <v>3.0000000000000001E-3</v>
      </c>
      <c r="J18" s="5">
        <v>4.0000000000000001E-3</v>
      </c>
      <c r="K18" s="5">
        <v>5.0000000000000001E-3</v>
      </c>
      <c r="L18" s="5">
        <v>6.0000000000000001E-3</v>
      </c>
      <c r="M18" s="5">
        <v>7.0000000000000001E-3</v>
      </c>
      <c r="N18" s="5">
        <v>8.0000000000000002E-3</v>
      </c>
      <c r="O18" s="5">
        <v>8.9999999999999993E-3</v>
      </c>
      <c r="P18" s="5">
        <v>0.01</v>
      </c>
      <c r="Q18" s="33">
        <f>SUMPRODUCT(spk1mu18[[#This Row],[1]:[10]]*(spk1mu18[[#This Row],[1]:[10]]&gt;=spk1mu18[[#This Row],[L]]))</f>
        <v>5.5E-2</v>
      </c>
      <c r="R18" s="99">
        <f>IF(spk1mu18[[#This Row],[Name]]="",0,LARGE(spk1mu18[[#This Row],[1]:[10]],$D$2))</f>
        <v>0</v>
      </c>
      <c r="S18" s="88" t="str">
        <f>IF(OR((COUNTIFS(spk1mu18[[#This Row],[1]:[10]],"="&amp;spk1mu18[[#This Row],[L]])=10),(COUNTIFS(spk1mu18[[#This Row],[1]:[10]],"="&amp;spk1mu18[[#This Row],[L]])&lt;2)),"OK","Fehler (zu wenig Streicher) [Gleiche Werte jeweils um 0,1 erhöhen]")</f>
        <v>OK</v>
      </c>
      <c r="AN18" s="1"/>
      <c r="AO18" s="1"/>
    </row>
    <row r="19" spans="1:41" ht="11.25" hidden="1" customHeight="1">
      <c r="A19" s="32"/>
      <c r="B19" s="20" t="str">
        <f>IF(spk1mu18[[#This Row],[Name]]="","",_xlfn.RANK.EQ(spk1mu18[[#This Row],[Result]],_xlnm.Criteria,0))</f>
        <v/>
      </c>
      <c r="E19" s="2"/>
      <c r="F19" s="20"/>
      <c r="G19" s="5">
        <v>1E-3</v>
      </c>
      <c r="H19" s="5">
        <v>2E-3</v>
      </c>
      <c r="I19" s="5">
        <v>3.0000000000000001E-3</v>
      </c>
      <c r="J19" s="5">
        <v>4.0000000000000001E-3</v>
      </c>
      <c r="K19" s="5">
        <v>5.0000000000000001E-3</v>
      </c>
      <c r="L19" s="5">
        <v>6.0000000000000001E-3</v>
      </c>
      <c r="M19" s="5">
        <v>7.0000000000000001E-3</v>
      </c>
      <c r="N19" s="5">
        <v>8.0000000000000002E-3</v>
      </c>
      <c r="O19" s="5">
        <v>8.9999999999999993E-3</v>
      </c>
      <c r="P19" s="5">
        <v>0.01</v>
      </c>
      <c r="Q19" s="33">
        <f>SUMPRODUCT(spk1mu18[[#This Row],[1]:[10]]*(spk1mu18[[#This Row],[1]:[10]]&gt;=spk1mu18[[#This Row],[L]]))</f>
        <v>5.5E-2</v>
      </c>
      <c r="R19" s="99">
        <f>IF(spk1mu18[[#This Row],[Name]]="",0,LARGE(spk1mu18[[#This Row],[1]:[10]],$D$2))</f>
        <v>0</v>
      </c>
      <c r="S19" s="88" t="str">
        <f>IF(OR((COUNTIFS(spk1mu18[[#This Row],[1]:[10]],"="&amp;spk1mu18[[#This Row],[L]])=10),(COUNTIFS(spk1mu18[[#This Row],[1]:[10]],"="&amp;spk1mu18[[#This Row],[L]])&lt;2)),"OK","Fehler (zu wenig Streicher) [Gleiche Werte jeweils um 0,1 erhöhen]")</f>
        <v>OK</v>
      </c>
      <c r="AN19" s="1"/>
      <c r="AO19" s="1"/>
    </row>
    <row r="20" spans="1:41" ht="11.25" hidden="1" customHeight="1">
      <c r="A20" s="32"/>
      <c r="B20" s="20" t="str">
        <f>IF(spk1mu18[[#This Row],[Name]]="","",_xlfn.RANK.EQ(spk1mu18[[#This Row],[Result]],_xlnm.Criteria,0))</f>
        <v/>
      </c>
      <c r="E20" s="2"/>
      <c r="F20" s="20"/>
      <c r="G20" s="5">
        <v>1E-3</v>
      </c>
      <c r="H20" s="5">
        <v>2E-3</v>
      </c>
      <c r="I20" s="5">
        <v>3.0000000000000001E-3</v>
      </c>
      <c r="J20" s="5">
        <v>4.0000000000000001E-3</v>
      </c>
      <c r="K20" s="5">
        <v>5.0000000000000001E-3</v>
      </c>
      <c r="L20" s="5">
        <v>6.0000000000000001E-3</v>
      </c>
      <c r="M20" s="5">
        <v>7.0000000000000001E-3</v>
      </c>
      <c r="N20" s="5">
        <v>8.0000000000000002E-3</v>
      </c>
      <c r="O20" s="5">
        <v>8.9999999999999993E-3</v>
      </c>
      <c r="P20" s="5">
        <v>0.01</v>
      </c>
      <c r="Q20" s="33">
        <f>SUMPRODUCT(spk1mu18[[#This Row],[1]:[10]]*(spk1mu18[[#This Row],[1]:[10]]&gt;=spk1mu18[[#This Row],[L]]))</f>
        <v>5.5E-2</v>
      </c>
      <c r="R20" s="99">
        <f>IF(spk1mu18[[#This Row],[Name]]="",0,LARGE(spk1mu18[[#This Row],[1]:[10]],$D$2))</f>
        <v>0</v>
      </c>
      <c r="S20" s="88" t="str">
        <f>IF(OR((COUNTIFS(spk1mu18[[#This Row],[1]:[10]],"="&amp;spk1mu18[[#This Row],[L]])=10),(COUNTIFS(spk1mu18[[#This Row],[1]:[10]],"="&amp;spk1mu18[[#This Row],[L]])&lt;2)),"OK","Fehler (zu wenig Streicher) [Gleiche Werte jeweils um 0,1 erhöhen]")</f>
        <v>OK</v>
      </c>
      <c r="AN20" s="1"/>
      <c r="AO20" s="1"/>
    </row>
    <row r="21" spans="1:41" customFormat="1" ht="11.25" hidden="1" customHeight="1">
      <c r="A21" s="32"/>
      <c r="B21" s="20" t="str">
        <f>IF(spk1mu18[[#This Row],[Name]]="","",_xlfn.RANK.EQ(spk1mu18[[#This Row],[Result]],_xlnm.Criteria,0))</f>
        <v/>
      </c>
      <c r="E21" s="7"/>
      <c r="F21" s="20"/>
      <c r="G21" s="5">
        <v>1E-3</v>
      </c>
      <c r="H21" s="5">
        <v>2E-3</v>
      </c>
      <c r="I21" s="5">
        <v>3.0000000000000001E-3</v>
      </c>
      <c r="J21" s="5">
        <v>4.0000000000000001E-3</v>
      </c>
      <c r="K21" s="5">
        <v>5.0000000000000001E-3</v>
      </c>
      <c r="L21" s="5">
        <v>6.0000000000000001E-3</v>
      </c>
      <c r="M21" s="5">
        <v>7.0000000000000001E-3</v>
      </c>
      <c r="N21" s="5">
        <v>8.0000000000000002E-3</v>
      </c>
      <c r="O21" s="5">
        <v>8.9999999999999993E-3</v>
      </c>
      <c r="P21" s="5">
        <v>0.01</v>
      </c>
      <c r="Q21" s="33">
        <f>SUMPRODUCT(spk1mu18[[#This Row],[1]:[10]]*(spk1mu18[[#This Row],[1]:[10]]&gt;=spk1mu18[[#This Row],[L]]))</f>
        <v>5.5E-2</v>
      </c>
      <c r="R21" s="99">
        <f>IF(spk1mu18[[#This Row],[Name]]="",0,LARGE(spk1mu18[[#This Row],[1]:[10]],$D$2))</f>
        <v>0</v>
      </c>
      <c r="S21" s="88" t="str">
        <f>IF(OR((COUNTIFS(spk1mu18[[#This Row],[1]:[10]],"="&amp;spk1mu18[[#This Row],[L]])=10),(COUNTIFS(spk1mu18[[#This Row],[1]:[10]],"="&amp;spk1mu18[[#This Row],[L]])&lt;2)),"OK","Fehler (zu wenig Streicher) [Gleiche Werte jeweils um 0,1 erhöhen]")</f>
        <v>OK</v>
      </c>
    </row>
    <row r="22" spans="1:41" customFormat="1" ht="11.25" hidden="1" customHeight="1">
      <c r="A22" s="32"/>
      <c r="B22" s="20" t="str">
        <f>IF(spk1mu18[[#This Row],[Name]]="","",_xlfn.RANK.EQ(spk1mu18[[#This Row],[Result]],_xlnm.Criteria,0))</f>
        <v/>
      </c>
      <c r="E22" s="7"/>
      <c r="F22" s="20"/>
      <c r="G22" s="5">
        <v>1E-3</v>
      </c>
      <c r="H22" s="5">
        <v>2E-3</v>
      </c>
      <c r="I22" s="5">
        <v>3.0000000000000001E-3</v>
      </c>
      <c r="J22" s="5">
        <v>4.0000000000000001E-3</v>
      </c>
      <c r="K22" s="5">
        <v>5.0000000000000001E-3</v>
      </c>
      <c r="L22" s="5">
        <v>6.0000000000000001E-3</v>
      </c>
      <c r="M22" s="5">
        <v>7.0000000000000001E-3</v>
      </c>
      <c r="N22" s="5">
        <v>8.0000000000000002E-3</v>
      </c>
      <c r="O22" s="5">
        <v>8.9999999999999993E-3</v>
      </c>
      <c r="P22" s="5">
        <v>0.01</v>
      </c>
      <c r="Q22" s="33">
        <f>SUMPRODUCT(spk1mu18[[#This Row],[1]:[10]]*(spk1mu18[[#This Row],[1]:[10]]&gt;=spk1mu18[[#This Row],[L]]))</f>
        <v>5.5E-2</v>
      </c>
      <c r="R22" s="99">
        <f>IF(spk1mu18[[#This Row],[Name]]="",0,LARGE(spk1mu18[[#This Row],[1]:[10]],$D$2))</f>
        <v>0</v>
      </c>
      <c r="S22" s="88" t="str">
        <f>IF(OR((COUNTIFS(spk1mu18[[#This Row],[1]:[10]],"="&amp;spk1mu18[[#This Row],[L]])=10),(COUNTIFS(spk1mu18[[#This Row],[1]:[10]],"="&amp;spk1mu18[[#This Row],[L]])&lt;2)),"OK","Fehler (zu wenig Streicher) [Gleiche Werte jeweils um 0,1 erhöhen]")</f>
        <v>OK</v>
      </c>
    </row>
    <row r="23" spans="1:41" customFormat="1" ht="11.25" hidden="1" customHeight="1">
      <c r="A23" s="32"/>
      <c r="B23" s="20" t="str">
        <f>IF(spk1mu18[[#This Row],[Name]]="","",_xlfn.RANK.EQ(spk1mu18[[#This Row],[Result]],_xlnm.Criteria,0))</f>
        <v/>
      </c>
      <c r="E23" s="7"/>
      <c r="F23" s="20"/>
      <c r="G23" s="5">
        <v>1E-3</v>
      </c>
      <c r="H23" s="5">
        <v>2E-3</v>
      </c>
      <c r="I23" s="5">
        <v>3.0000000000000001E-3</v>
      </c>
      <c r="J23" s="5">
        <v>4.0000000000000001E-3</v>
      </c>
      <c r="K23" s="5">
        <v>5.0000000000000001E-3</v>
      </c>
      <c r="L23" s="5">
        <v>6.0000000000000001E-3</v>
      </c>
      <c r="M23" s="5">
        <v>7.0000000000000001E-3</v>
      </c>
      <c r="N23" s="5">
        <v>8.0000000000000002E-3</v>
      </c>
      <c r="O23" s="5">
        <v>8.9999999999999993E-3</v>
      </c>
      <c r="P23" s="5">
        <v>0.01</v>
      </c>
      <c r="Q23" s="33">
        <f>SUMPRODUCT(spk1mu18[[#This Row],[1]:[10]]*(spk1mu18[[#This Row],[1]:[10]]&gt;=spk1mu18[[#This Row],[L]]))</f>
        <v>5.5E-2</v>
      </c>
      <c r="R23" s="99">
        <f>IF(spk1mu18[[#This Row],[Name]]="",0,LARGE(spk1mu18[[#This Row],[1]:[10]],$D$2))</f>
        <v>0</v>
      </c>
      <c r="S23" s="88" t="str">
        <f>IF(OR((COUNTIFS(spk1mu18[[#This Row],[1]:[10]],"="&amp;spk1mu18[[#This Row],[L]])=10),(COUNTIFS(spk1mu18[[#This Row],[1]:[10]],"="&amp;spk1mu18[[#This Row],[L]])&lt;2)),"OK","Fehler (zu wenig Streicher) [Gleiche Werte jeweils um 0,1 erhöhen]")</f>
        <v>OK</v>
      </c>
    </row>
    <row r="24" spans="1:41" customFormat="1" ht="11.25" hidden="1" customHeight="1">
      <c r="A24" s="32"/>
      <c r="B24" s="20" t="str">
        <f>IF(spk1mu18[[#This Row],[Name]]="","",_xlfn.RANK.EQ(spk1mu18[[#This Row],[Result]],_xlnm.Criteria,0))</f>
        <v/>
      </c>
      <c r="E24" s="7"/>
      <c r="F24" s="20"/>
      <c r="G24" s="5">
        <v>1E-3</v>
      </c>
      <c r="H24" s="5">
        <v>2E-3</v>
      </c>
      <c r="I24" s="5">
        <v>3.0000000000000001E-3</v>
      </c>
      <c r="J24" s="5">
        <v>4.0000000000000001E-3</v>
      </c>
      <c r="K24" s="5">
        <v>5.0000000000000001E-3</v>
      </c>
      <c r="L24" s="5">
        <v>6.0000000000000001E-3</v>
      </c>
      <c r="M24" s="5">
        <v>7.0000000000000001E-3</v>
      </c>
      <c r="N24" s="5">
        <v>8.0000000000000002E-3</v>
      </c>
      <c r="O24" s="5">
        <v>8.9999999999999993E-3</v>
      </c>
      <c r="P24" s="5">
        <v>0.01</v>
      </c>
      <c r="Q24" s="33">
        <f>SUMPRODUCT(spk1mu18[[#This Row],[1]:[10]]*(spk1mu18[[#This Row],[1]:[10]]&gt;=spk1mu18[[#This Row],[L]]))</f>
        <v>5.5E-2</v>
      </c>
      <c r="R24" s="99">
        <f>IF(spk1mu18[[#This Row],[Name]]="",0,LARGE(spk1mu18[[#This Row],[1]:[10]],$D$2))</f>
        <v>0</v>
      </c>
      <c r="S24" s="88" t="str">
        <f>IF(OR((COUNTIFS(spk1mu18[[#This Row],[1]:[10]],"="&amp;spk1mu18[[#This Row],[L]])=10),(COUNTIFS(spk1mu18[[#This Row],[1]:[10]],"="&amp;spk1mu18[[#This Row],[L]])&lt;2)),"OK","Fehler (zu wenig Streicher) [Gleiche Werte jeweils um 0,1 erhöhen]")</f>
        <v>OK</v>
      </c>
    </row>
    <row r="25" spans="1:41" ht="11.25" hidden="1" customHeight="1">
      <c r="A25" s="32"/>
      <c r="B25" s="20" t="str">
        <f>IF(spk1mu18[[#This Row],[Name]]="","",_xlfn.RANK.EQ(spk1mu18[[#This Row],[Result]],_xlnm.Criteria,0))</f>
        <v/>
      </c>
      <c r="E25" s="2"/>
      <c r="F25" s="20"/>
      <c r="G25" s="5">
        <v>1E-3</v>
      </c>
      <c r="H25" s="5">
        <v>2E-3</v>
      </c>
      <c r="I25" s="5">
        <v>3.0000000000000001E-3</v>
      </c>
      <c r="J25" s="5">
        <v>4.0000000000000001E-3</v>
      </c>
      <c r="K25" s="5">
        <v>5.0000000000000001E-3</v>
      </c>
      <c r="L25" s="5">
        <v>6.0000000000000001E-3</v>
      </c>
      <c r="M25" s="5">
        <v>7.0000000000000001E-3</v>
      </c>
      <c r="N25" s="5">
        <v>8.0000000000000002E-3</v>
      </c>
      <c r="O25" s="5">
        <v>8.9999999999999993E-3</v>
      </c>
      <c r="P25" s="5">
        <v>0.01</v>
      </c>
      <c r="Q25" s="33">
        <f>SUMPRODUCT(spk1mu18[[#This Row],[1]:[10]]*(spk1mu18[[#This Row],[1]:[10]]&gt;=spk1mu18[[#This Row],[L]]))</f>
        <v>5.5E-2</v>
      </c>
      <c r="R25" s="99">
        <f>IF(spk1mu18[[#This Row],[Name]]="",0,LARGE(spk1mu18[[#This Row],[1]:[10]],$D$2))</f>
        <v>0</v>
      </c>
      <c r="S25" s="88" t="str">
        <f>IF(OR((COUNTIFS(spk1mu18[[#This Row],[1]:[10]],"="&amp;spk1mu18[[#This Row],[L]])=10),(COUNTIFS(spk1mu18[[#This Row],[1]:[10]],"="&amp;spk1mu18[[#This Row],[L]])&lt;2)),"OK","Fehler (zu wenig Streicher) [Gleiche Werte jeweils um 0,1 erhöhen]")</f>
        <v>OK</v>
      </c>
      <c r="AN25" s="1"/>
      <c r="AO25" s="1"/>
    </row>
    <row r="26" spans="1:41" ht="11.25" hidden="1" customHeight="1">
      <c r="A26" s="32"/>
      <c r="B26" s="20" t="str">
        <f>IF(spk1mu18[[#This Row],[Name]]="","",_xlfn.RANK.EQ(spk1mu18[[#This Row],[Result]],_xlnm.Criteria,0))</f>
        <v/>
      </c>
      <c r="E26" s="2"/>
      <c r="F26" s="20"/>
      <c r="G26" s="5">
        <v>1E-3</v>
      </c>
      <c r="H26" s="5">
        <v>2E-3</v>
      </c>
      <c r="I26" s="5">
        <v>3.0000000000000001E-3</v>
      </c>
      <c r="J26" s="5">
        <v>4.0000000000000001E-3</v>
      </c>
      <c r="K26" s="5">
        <v>5.0000000000000001E-3</v>
      </c>
      <c r="L26" s="5">
        <v>6.0000000000000001E-3</v>
      </c>
      <c r="M26" s="5">
        <v>7.0000000000000001E-3</v>
      </c>
      <c r="N26" s="5">
        <v>8.0000000000000002E-3</v>
      </c>
      <c r="O26" s="5">
        <v>8.9999999999999993E-3</v>
      </c>
      <c r="P26" s="5">
        <v>0.01</v>
      </c>
      <c r="Q26" s="33">
        <f>SUMPRODUCT(spk1mu18[[#This Row],[1]:[10]]*(spk1mu18[[#This Row],[1]:[10]]&gt;=spk1mu18[[#This Row],[L]]))</f>
        <v>5.5E-2</v>
      </c>
      <c r="R26" s="99">
        <f>IF(spk1mu18[[#This Row],[Name]]="",0,LARGE(spk1mu18[[#This Row],[1]:[10]],$D$2))</f>
        <v>0</v>
      </c>
      <c r="S26" s="88" t="str">
        <f>IF(OR((COUNTIFS(spk1mu18[[#This Row],[1]:[10]],"="&amp;spk1mu18[[#This Row],[L]])=10),(COUNTIFS(spk1mu18[[#This Row],[1]:[10]],"="&amp;spk1mu18[[#This Row],[L]])&lt;2)),"OK","Fehler (zu wenig Streicher) [Gleiche Werte jeweils um 0,1 erhöhen]")</f>
        <v>OK</v>
      </c>
      <c r="AN26" s="1"/>
      <c r="AO26" s="1"/>
    </row>
    <row r="27" spans="1:41" ht="11.25" hidden="1" customHeight="1" thickBot="1">
      <c r="A27" s="34"/>
      <c r="B27" s="35" t="str">
        <f>IF(spk1mu18[[#This Row],[Name]]="","",_xlfn.RANK.EQ(spk1mu18[[#This Row],[Result]],_xlnm.Criteria,0))</f>
        <v/>
      </c>
      <c r="C27" s="51"/>
      <c r="D27" s="51"/>
      <c r="E27" s="52"/>
      <c r="F27" s="35"/>
      <c r="G27" s="36">
        <v>1E-3</v>
      </c>
      <c r="H27" s="36">
        <v>2E-3</v>
      </c>
      <c r="I27" s="36">
        <v>3.0000000000000001E-3</v>
      </c>
      <c r="J27" s="36">
        <v>4.0000000000000001E-3</v>
      </c>
      <c r="K27" s="36">
        <v>5.0000000000000001E-3</v>
      </c>
      <c r="L27" s="36">
        <v>6.0000000000000001E-3</v>
      </c>
      <c r="M27" s="36">
        <v>7.0000000000000001E-3</v>
      </c>
      <c r="N27" s="36">
        <v>8.0000000000000002E-3</v>
      </c>
      <c r="O27" s="36">
        <v>8.9999999999999993E-3</v>
      </c>
      <c r="P27" s="36">
        <v>0.01</v>
      </c>
      <c r="Q27" s="37">
        <f>SUMPRODUCT(spk1mu18[[#This Row],[1]:[10]]*(spk1mu18[[#This Row],[1]:[10]]&gt;=spk1mu18[[#This Row],[L]]))</f>
        <v>5.5E-2</v>
      </c>
      <c r="R27" s="99">
        <f>IF(spk1mu18[[#This Row],[Name]]="",0,LARGE(spk1mu18[[#This Row],[1]:[10]],$D$2))</f>
        <v>0</v>
      </c>
      <c r="S27" s="88" t="str">
        <f>IF(OR((COUNTIFS(spk1mu18[[#This Row],[1]:[10]],"="&amp;spk1mu18[[#This Row],[L]])=10),(COUNTIFS(spk1mu18[[#This Row],[1]:[10]],"="&amp;spk1mu18[[#This Row],[L]])&lt;2)),"OK","Fehler (zu wenig Streicher) [Gleiche Werte jeweils um 0,1 erhöhen]")</f>
        <v>OK</v>
      </c>
      <c r="AN27" s="1"/>
      <c r="AO27" s="1"/>
    </row>
    <row r="30" spans="1:41" ht="15" customHeight="1">
      <c r="R30" s="174" t="s">
        <v>17</v>
      </c>
      <c r="S30" s="157"/>
      <c r="U30" s="89"/>
    </row>
    <row r="31" spans="1:41" ht="24.95" customHeight="1" thickBot="1">
      <c r="A31" s="176" t="s">
        <v>40</v>
      </c>
      <c r="B31" s="177"/>
      <c r="C31" s="177"/>
      <c r="D31" s="177"/>
      <c r="E31" s="177"/>
      <c r="F31" s="214"/>
      <c r="G31" s="65"/>
      <c r="H31" s="66"/>
      <c r="I31" s="67"/>
      <c r="J31" s="68"/>
      <c r="K31" s="67"/>
      <c r="L31" s="68"/>
      <c r="M31" s="67"/>
      <c r="N31" s="68"/>
      <c r="O31" s="45"/>
      <c r="P31" s="10"/>
      <c r="Q31" s="160"/>
      <c r="R31" s="174"/>
      <c r="S31" s="157"/>
      <c r="AL31" s="4"/>
      <c r="AM31" s="4"/>
      <c r="AN31" s="1"/>
      <c r="AO31" s="1"/>
    </row>
    <row r="32" spans="1:41" ht="12" thickBot="1">
      <c r="A32" s="150" t="s">
        <v>19</v>
      </c>
      <c r="B32" s="82" t="s">
        <v>20</v>
      </c>
      <c r="C32" s="82" t="s">
        <v>21</v>
      </c>
      <c r="D32" s="82" t="s">
        <v>22</v>
      </c>
      <c r="E32" s="82" t="s">
        <v>23</v>
      </c>
      <c r="F32" s="82" t="s">
        <v>24</v>
      </c>
      <c r="G32" s="82" t="s">
        <v>25</v>
      </c>
      <c r="H32" s="82" t="s">
        <v>26</v>
      </c>
      <c r="I32" s="82" t="s">
        <v>27</v>
      </c>
      <c r="J32" s="82" t="s">
        <v>28</v>
      </c>
      <c r="K32" s="82" t="s">
        <v>29</v>
      </c>
      <c r="L32" s="82" t="s">
        <v>30</v>
      </c>
      <c r="M32" s="82" t="s">
        <v>31</v>
      </c>
      <c r="N32" s="82" t="s">
        <v>32</v>
      </c>
      <c r="O32" s="82" t="s">
        <v>102</v>
      </c>
      <c r="P32" s="82" t="s">
        <v>103</v>
      </c>
      <c r="Q32" s="43" t="s">
        <v>33</v>
      </c>
      <c r="R32" s="83" t="s">
        <v>34</v>
      </c>
      <c r="S32" s="159" t="s">
        <v>35</v>
      </c>
      <c r="AL32" s="4"/>
      <c r="AM32" s="4"/>
      <c r="AN32" s="1"/>
      <c r="AO32" s="1"/>
    </row>
    <row r="33" spans="1:41" ht="12">
      <c r="A33" s="32" t="s">
        <v>129</v>
      </c>
      <c r="B33" s="20">
        <f>IF(spk1wu18[[#This Row],[Name]]="","",_xlfn.RANK.EQ(spk1wu18[[#This Row],[Result]],spk1wu18[Result],0))</f>
        <v>1</v>
      </c>
      <c r="C33" s="1" t="s">
        <v>130</v>
      </c>
      <c r="D33" s="1" t="s">
        <v>42</v>
      </c>
      <c r="E33" s="2" t="s">
        <v>94</v>
      </c>
      <c r="F33" s="20" t="s">
        <v>39</v>
      </c>
      <c r="G33" s="5">
        <v>1E-3</v>
      </c>
      <c r="H33" s="5">
        <v>2E-3</v>
      </c>
      <c r="I33" s="5">
        <v>3.0000000000000001E-3</v>
      </c>
      <c r="J33" s="5">
        <v>4.0000000000000001E-3</v>
      </c>
      <c r="K33" s="5">
        <v>5.0000000000000001E-3</v>
      </c>
      <c r="L33" s="5">
        <v>6.0000000000000001E-3</v>
      </c>
      <c r="M33" s="5">
        <v>7.0000000000000001E-3</v>
      </c>
      <c r="N33" s="5">
        <v>8.0000000000000002E-3</v>
      </c>
      <c r="O33" s="5">
        <v>25</v>
      </c>
      <c r="P33" s="5">
        <v>26</v>
      </c>
      <c r="Q33" s="33">
        <f>SUMPRODUCT(spk1wu18[[#This Row],[1]:[10]]*(spk1wu18[[#This Row],[1]:[10]]&gt;=spk1wu18[[#This Row],[L]]))</f>
        <v>51.033000000000001</v>
      </c>
      <c r="R33" s="99">
        <f>IF(spk1wu18[[#This Row],[Name]]="",0,LARGE(spk1wu18[[#This Row],[1]:[10]],$D$2))</f>
        <v>3.0000000000000001E-3</v>
      </c>
      <c r="S33" s="6" t="str">
        <f>IF(OR((COUNTIFS(spk1wu18[[#This Row],[1]:[10]],"="&amp;spk1wu18[[#This Row],[L]])=10),(COUNTIFS(spk1wu18[[#This Row],[1]:[10]],"="&amp;spk1wu18[[#This Row],[L]])&lt;2)),"OK","Fehler (zu wenig Streicher) [Gleiche Werte jeweils um 0,1 erhöhen]")</f>
        <v>OK</v>
      </c>
      <c r="AL33" s="4"/>
      <c r="AM33" s="4"/>
      <c r="AN33" s="1"/>
      <c r="AO33" s="1"/>
    </row>
    <row r="34" spans="1:41">
      <c r="A34" s="32"/>
      <c r="B34" s="20">
        <f>IF(spk1wu18[[#This Row],[Name]]="","",_xlfn.RANK.EQ(spk1wu18[[#This Row],[Result]],spk1wu18[Result],0))</f>
        <v>2</v>
      </c>
      <c r="C34" s="1" t="s">
        <v>131</v>
      </c>
      <c r="D34" s="1" t="s">
        <v>132</v>
      </c>
      <c r="E34" s="2" t="s">
        <v>79</v>
      </c>
      <c r="F34" s="20" t="s">
        <v>39</v>
      </c>
      <c r="G34" s="5">
        <v>1E-3</v>
      </c>
      <c r="H34" s="5">
        <v>2E-3</v>
      </c>
      <c r="I34" s="5">
        <v>3.0000000000000001E-3</v>
      </c>
      <c r="J34" s="5">
        <v>4.0000000000000001E-3</v>
      </c>
      <c r="K34" s="5">
        <v>5.0000000000000001E-3</v>
      </c>
      <c r="L34" s="5">
        <v>6.0000000000000001E-3</v>
      </c>
      <c r="M34" s="5">
        <v>25</v>
      </c>
      <c r="N34" s="5">
        <v>25</v>
      </c>
      <c r="O34" s="5">
        <v>8.9999999999999993E-3</v>
      </c>
      <c r="P34" s="5">
        <v>0.01</v>
      </c>
      <c r="Q34" s="33">
        <f>SUMPRODUCT(spk1wu18[[#This Row],[1]:[10]]*(spk1wu18[[#This Row],[1]:[10]]&gt;=spk1wu18[[#This Row],[L]]))</f>
        <v>50.036999999999999</v>
      </c>
      <c r="R34" s="98">
        <f>IF(spk1wu18[[#This Row],[Name]]="",0,LARGE(spk1wu18[[#This Row],[1]:[10]],$D$2))</f>
        <v>3.0000000000000001E-3</v>
      </c>
      <c r="S34" s="6" t="str">
        <f>IF(OR((COUNTIFS(spk1wu18[[#This Row],[1]:[10]],"="&amp;spk1wu18[[#This Row],[L]])=10),(COUNTIFS(spk1wu18[[#This Row],[1]:[10]],"="&amp;spk1wu18[[#This Row],[L]])&lt;2)),"OK","Fehler (zu wenig Streicher) [Gleiche Werte jeweils um 0,1 erhöhen]")</f>
        <v>OK</v>
      </c>
      <c r="AL34" s="4"/>
      <c r="AM34" s="4"/>
      <c r="AN34" s="1"/>
      <c r="AO34" s="1"/>
    </row>
    <row r="35" spans="1:41" ht="12" hidden="1">
      <c r="A35" s="151"/>
      <c r="B35" s="152">
        <f>IF(spk1wu18[[#This Row],[Name]]="","",_xlfn.RANK.EQ(spk1wu18[[#This Row],[Result]],spk1wu18[Result],0))</f>
        <v>3</v>
      </c>
      <c r="C35" s="153" t="s">
        <v>92</v>
      </c>
      <c r="D35" s="153" t="s">
        <v>93</v>
      </c>
      <c r="E35" s="154" t="s">
        <v>94</v>
      </c>
      <c r="F35" s="152" t="s">
        <v>39</v>
      </c>
      <c r="G35" s="155">
        <v>1E-3</v>
      </c>
      <c r="H35" s="155">
        <v>2E-3</v>
      </c>
      <c r="I35" s="155">
        <v>3.0000000000000001E-3</v>
      </c>
      <c r="J35" s="155">
        <v>4.0000000000000001E-3</v>
      </c>
      <c r="K35" s="155">
        <v>5.0000000000000001E-3</v>
      </c>
      <c r="L35" s="155">
        <v>6.0000000000000001E-3</v>
      </c>
      <c r="M35" s="155">
        <v>7.0000000000000001E-3</v>
      </c>
      <c r="N35" s="155">
        <v>8.0000000000000002E-3</v>
      </c>
      <c r="O35" s="155">
        <v>8.9999999999999993E-3</v>
      </c>
      <c r="P35" s="155">
        <v>0.01</v>
      </c>
      <c r="Q35" s="156">
        <f>SUMPRODUCT(spk1wu18[[#This Row],[1]:[10]]*(spk1wu18[[#This Row],[1]:[10]]&gt;=spk1wu18[[#This Row],[L]]))</f>
        <v>5.2000000000000005E-2</v>
      </c>
      <c r="R35" s="100">
        <f>IF(spk1wu18[[#This Row],[Name]]="",0,LARGE(spk1wu18[[#This Row],[1]:[10]],$D$2))</f>
        <v>3.0000000000000001E-3</v>
      </c>
      <c r="S35" s="6" t="str">
        <f>IF(OR((COUNTIFS(spk1wu18[[#This Row],[1]:[10]],"="&amp;spk1wu18[[#This Row],[L]])=10),(COUNTIFS(spk1wu18[[#This Row],[1]:[10]],"="&amp;spk1wu18[[#This Row],[L]])&lt;2)),"OK","Fehler (zu wenig Streicher) [Gleiche Werte jeweils um 0,1 erhöhen]")</f>
        <v>OK</v>
      </c>
      <c r="AL35" s="4"/>
      <c r="AM35" s="4"/>
      <c r="AN35" s="1"/>
      <c r="AO35" s="1"/>
    </row>
    <row r="36" spans="1:41" ht="12" hidden="1">
      <c r="A36" s="32"/>
      <c r="B36" s="20">
        <f>IF(spk1wu18[[#This Row],[Name]]="","",_xlfn.RANK.EQ(spk1wu18[[#This Row],[Result]],spk1wu18[Result],0))</f>
        <v>3</v>
      </c>
      <c r="C36" s="1" t="s">
        <v>92</v>
      </c>
      <c r="D36" s="1" t="s">
        <v>93</v>
      </c>
      <c r="E36" s="2" t="s">
        <v>94</v>
      </c>
      <c r="F36" s="20" t="s">
        <v>39</v>
      </c>
      <c r="G36" s="5">
        <v>1E-3</v>
      </c>
      <c r="H36" s="5">
        <v>2E-3</v>
      </c>
      <c r="I36" s="5">
        <v>3.0000000000000001E-3</v>
      </c>
      <c r="J36" s="5">
        <v>4.0000000000000001E-3</v>
      </c>
      <c r="K36" s="5">
        <v>5.0000000000000001E-3</v>
      </c>
      <c r="L36" s="5">
        <v>6.0000000000000001E-3</v>
      </c>
      <c r="M36" s="5">
        <v>7.0000000000000001E-3</v>
      </c>
      <c r="N36" s="5">
        <v>8.0000000000000002E-3</v>
      </c>
      <c r="O36" s="5">
        <v>8.9999999999999993E-3</v>
      </c>
      <c r="P36" s="5">
        <v>0.01</v>
      </c>
      <c r="Q36" s="33">
        <f>SUMPRODUCT(spk1wu18[[#This Row],[1]:[10]]*(spk1wu18[[#This Row],[1]:[10]]&gt;=spk1wu18[[#This Row],[L]]))</f>
        <v>5.2000000000000005E-2</v>
      </c>
      <c r="R36" s="99">
        <f>IF(spk1wu18[[#This Row],[Name]]="",0,LARGE(spk1wu18[[#This Row],[1]:[10]],$D$2))</f>
        <v>3.0000000000000001E-3</v>
      </c>
      <c r="S36" s="6" t="str">
        <f>IF(OR((COUNTIFS(spk1wu18[[#This Row],[1]:[10]],"="&amp;spk1wu18[[#This Row],[L]])=10),(COUNTIFS(spk1wu18[[#This Row],[1]:[10]],"="&amp;spk1wu18[[#This Row],[L]])&lt;2)),"OK","Fehler (zu wenig Streicher) [Gleiche Werte jeweils um 0,1 erhöhen]")</f>
        <v>OK</v>
      </c>
      <c r="AL36" s="4"/>
      <c r="AM36" s="4"/>
      <c r="AN36" s="1"/>
      <c r="AO36" s="1"/>
    </row>
    <row r="37" spans="1:41" ht="12" hidden="1">
      <c r="A37" s="151"/>
      <c r="B37" s="152">
        <f>IF(spk1wu18[[#This Row],[Name]]="","",_xlfn.RANK.EQ(spk1wu18[[#This Row],[Result]],spk1wu18[Result],0))</f>
        <v>3</v>
      </c>
      <c r="C37" s="153" t="s">
        <v>92</v>
      </c>
      <c r="D37" s="153" t="s">
        <v>93</v>
      </c>
      <c r="E37" s="154" t="s">
        <v>94</v>
      </c>
      <c r="F37" s="152" t="s">
        <v>39</v>
      </c>
      <c r="G37" s="155">
        <v>1E-3</v>
      </c>
      <c r="H37" s="155">
        <v>2E-3</v>
      </c>
      <c r="I37" s="155">
        <v>3.0000000000000001E-3</v>
      </c>
      <c r="J37" s="155">
        <v>4.0000000000000001E-3</v>
      </c>
      <c r="K37" s="155">
        <v>5.0000000000000001E-3</v>
      </c>
      <c r="L37" s="155">
        <v>6.0000000000000001E-3</v>
      </c>
      <c r="M37" s="155">
        <v>7.0000000000000001E-3</v>
      </c>
      <c r="N37" s="155">
        <v>8.0000000000000002E-3</v>
      </c>
      <c r="O37" s="155">
        <v>8.9999999999999993E-3</v>
      </c>
      <c r="P37" s="155">
        <v>0.01</v>
      </c>
      <c r="Q37" s="156">
        <f>SUMPRODUCT(spk1wu18[[#This Row],[1]:[10]]*(spk1wu18[[#This Row],[1]:[10]]&gt;=spk1wu18[[#This Row],[L]]))</f>
        <v>5.2000000000000005E-2</v>
      </c>
      <c r="R37" s="100">
        <f>IF(spk1wu18[[#This Row],[Name]]="",0,LARGE(spk1wu18[[#This Row],[1]:[10]],$D$2))</f>
        <v>3.0000000000000001E-3</v>
      </c>
      <c r="S37" s="6" t="str">
        <f>IF(OR((COUNTIFS(spk1wu18[[#This Row],[1]:[10]],"="&amp;spk1wu18[[#This Row],[L]])=10),(COUNTIFS(spk1wu18[[#This Row],[1]:[10]],"="&amp;spk1wu18[[#This Row],[L]])&lt;2)),"OK","Fehler (zu wenig Streicher) [Gleiche Werte jeweils um 0,1 erhöhen]")</f>
        <v>OK</v>
      </c>
      <c r="AL37" s="4"/>
      <c r="AM37" s="4"/>
      <c r="AN37" s="1"/>
      <c r="AO37" s="1"/>
    </row>
    <row r="38" spans="1:41" ht="12" hidden="1">
      <c r="A38" s="32"/>
      <c r="B38" s="20">
        <f>IF(spk1wu18[[#This Row],[Name]]="","",_xlfn.RANK.EQ(spk1wu18[[#This Row],[Result]],spk1wu18[Result],0))</f>
        <v>3</v>
      </c>
      <c r="C38" s="1" t="s">
        <v>92</v>
      </c>
      <c r="D38" s="1" t="s">
        <v>93</v>
      </c>
      <c r="E38" s="2" t="s">
        <v>94</v>
      </c>
      <c r="F38" s="20" t="s">
        <v>39</v>
      </c>
      <c r="G38" s="5">
        <v>1E-3</v>
      </c>
      <c r="H38" s="5">
        <v>2E-3</v>
      </c>
      <c r="I38" s="5">
        <v>3.0000000000000001E-3</v>
      </c>
      <c r="J38" s="5">
        <v>4.0000000000000001E-3</v>
      </c>
      <c r="K38" s="5">
        <v>5.0000000000000001E-3</v>
      </c>
      <c r="L38" s="5">
        <v>6.0000000000000001E-3</v>
      </c>
      <c r="M38" s="5">
        <v>7.0000000000000001E-3</v>
      </c>
      <c r="N38" s="5">
        <v>8.0000000000000002E-3</v>
      </c>
      <c r="O38" s="5">
        <v>8.9999999999999993E-3</v>
      </c>
      <c r="P38" s="5">
        <v>0.01</v>
      </c>
      <c r="Q38" s="33">
        <f>SUMPRODUCT(spk1wu18[[#This Row],[1]:[10]]*(spk1wu18[[#This Row],[1]:[10]]&gt;=spk1wu18[[#This Row],[L]]))</f>
        <v>5.2000000000000005E-2</v>
      </c>
      <c r="R38" s="99">
        <f>IF(spk1wu18[[#This Row],[Name]]="",0,LARGE(spk1wu18[[#This Row],[1]:[10]],$D$2))</f>
        <v>3.0000000000000001E-3</v>
      </c>
      <c r="S38" s="6" t="str">
        <f>IF(OR((COUNTIFS(spk1wu18[[#This Row],[1]:[10]],"="&amp;spk1wu18[[#This Row],[L]])=10),(COUNTIFS(spk1wu18[[#This Row],[1]:[10]],"="&amp;spk1wu18[[#This Row],[L]])&lt;2)),"OK","Fehler (zu wenig Streicher) [Gleiche Werte jeweils um 0,1 erhöhen]")</f>
        <v>OK</v>
      </c>
      <c r="AL38" s="4"/>
      <c r="AM38" s="4"/>
      <c r="AN38" s="1"/>
      <c r="AO38" s="1"/>
    </row>
    <row r="39" spans="1:41" ht="12" hidden="1">
      <c r="A39" s="151"/>
      <c r="B39" s="152">
        <f>IF(spk1wu18[[#This Row],[Name]]="","",_xlfn.RANK.EQ(spk1wu18[[#This Row],[Result]],spk1wu18[Result],0))</f>
        <v>3</v>
      </c>
      <c r="C39" s="153" t="s">
        <v>92</v>
      </c>
      <c r="D39" s="153" t="s">
        <v>93</v>
      </c>
      <c r="E39" s="154" t="s">
        <v>94</v>
      </c>
      <c r="F39" s="152" t="s">
        <v>39</v>
      </c>
      <c r="G39" s="155">
        <v>1E-3</v>
      </c>
      <c r="H39" s="155">
        <v>2E-3</v>
      </c>
      <c r="I39" s="155">
        <v>3.0000000000000001E-3</v>
      </c>
      <c r="J39" s="155">
        <v>4.0000000000000001E-3</v>
      </c>
      <c r="K39" s="155">
        <v>5.0000000000000001E-3</v>
      </c>
      <c r="L39" s="155">
        <v>6.0000000000000001E-3</v>
      </c>
      <c r="M39" s="155">
        <v>7.0000000000000001E-3</v>
      </c>
      <c r="N39" s="155">
        <v>8.0000000000000002E-3</v>
      </c>
      <c r="O39" s="155">
        <v>8.9999999999999993E-3</v>
      </c>
      <c r="P39" s="155">
        <v>0.01</v>
      </c>
      <c r="Q39" s="156">
        <f>SUMPRODUCT(spk1wu18[[#This Row],[1]:[10]]*(spk1wu18[[#This Row],[1]:[10]]&gt;=spk1wu18[[#This Row],[L]]))</f>
        <v>5.2000000000000005E-2</v>
      </c>
      <c r="R39" s="100">
        <f>IF(spk1wu18[[#This Row],[Name]]="",0,LARGE(spk1wu18[[#This Row],[1]:[10]],$D$2))</f>
        <v>3.0000000000000001E-3</v>
      </c>
      <c r="S39" s="6" t="str">
        <f>IF(OR((COUNTIFS(spk1wu18[[#This Row],[1]:[10]],"="&amp;spk1wu18[[#This Row],[L]])=10),(COUNTIFS(spk1wu18[[#This Row],[1]:[10]],"="&amp;spk1wu18[[#This Row],[L]])&lt;2)),"OK","Fehler (zu wenig Streicher) [Gleiche Werte jeweils um 0,1 erhöhen]")</f>
        <v>OK</v>
      </c>
      <c r="AL39" s="4"/>
      <c r="AM39" s="4"/>
      <c r="AN39" s="1"/>
      <c r="AO39" s="1"/>
    </row>
    <row r="40" spans="1:41" ht="12.75" hidden="1" thickBot="1">
      <c r="A40" s="34"/>
      <c r="B40" s="35">
        <f>IF(spk1wu18[[#This Row],[Name]]="","",_xlfn.RANK.EQ(spk1wu18[[#This Row],[Result]],spk1wu18[Result],0))</f>
        <v>3</v>
      </c>
      <c r="C40" s="51" t="s">
        <v>92</v>
      </c>
      <c r="D40" s="51" t="s">
        <v>93</v>
      </c>
      <c r="E40" s="52" t="s">
        <v>94</v>
      </c>
      <c r="F40" s="35" t="s">
        <v>39</v>
      </c>
      <c r="G40" s="36">
        <v>1E-3</v>
      </c>
      <c r="H40" s="36">
        <v>2E-3</v>
      </c>
      <c r="I40" s="36">
        <v>3.0000000000000001E-3</v>
      </c>
      <c r="J40" s="36">
        <v>4.0000000000000001E-3</v>
      </c>
      <c r="K40" s="36">
        <v>5.0000000000000001E-3</v>
      </c>
      <c r="L40" s="36">
        <v>6.0000000000000001E-3</v>
      </c>
      <c r="M40" s="36">
        <v>7.0000000000000001E-3</v>
      </c>
      <c r="N40" s="36">
        <v>8.0000000000000002E-3</v>
      </c>
      <c r="O40" s="36">
        <v>8.9999999999999993E-3</v>
      </c>
      <c r="P40" s="36">
        <v>0.01</v>
      </c>
      <c r="Q40" s="37">
        <f>SUMPRODUCT(spk1wu18[[#This Row],[1]:[10]]*(spk1wu18[[#This Row],[1]:[10]]&gt;=spk1wu18[[#This Row],[L]]))</f>
        <v>5.2000000000000005E-2</v>
      </c>
      <c r="R40" s="99">
        <f>IF(spk1wu18[[#This Row],[Name]]="",0,LARGE(spk1wu18[[#This Row],[1]:[10]],$D$2))</f>
        <v>3.0000000000000001E-3</v>
      </c>
      <c r="S40" s="6" t="str">
        <f>IF(OR((COUNTIFS(spk1wu18[[#This Row],[1]:[10]],"="&amp;spk1wu18[[#This Row],[L]])=10),(COUNTIFS(spk1wu18[[#This Row],[1]:[10]],"="&amp;spk1wu18[[#This Row],[L]])&lt;2)),"OK","Fehler (zu wenig Streicher) [Gleiche Werte jeweils um 0,1 erhöhen]")</f>
        <v>OK</v>
      </c>
      <c r="AL40" s="4"/>
      <c r="AM40" s="4"/>
      <c r="AN40" s="1"/>
      <c r="AO40" s="1"/>
    </row>
  </sheetData>
  <mergeCells count="24">
    <mergeCell ref="R30:R31"/>
    <mergeCell ref="D1:Q1"/>
    <mergeCell ref="M3:N3"/>
    <mergeCell ref="O3:P3"/>
    <mergeCell ref="A31:F31"/>
    <mergeCell ref="K3:L3"/>
    <mergeCell ref="G4:H4"/>
    <mergeCell ref="I4:J4"/>
    <mergeCell ref="K4:L4"/>
    <mergeCell ref="A6:F6"/>
    <mergeCell ref="A2:C5"/>
    <mergeCell ref="R5:R6"/>
    <mergeCell ref="A1:C1"/>
    <mergeCell ref="AK1:AM1"/>
    <mergeCell ref="D2:F5"/>
    <mergeCell ref="G2:H2"/>
    <mergeCell ref="I2:J2"/>
    <mergeCell ref="K2:L2"/>
    <mergeCell ref="M2:N2"/>
    <mergeCell ref="O2:P2"/>
    <mergeCell ref="G3:H3"/>
    <mergeCell ref="I3:J3"/>
    <mergeCell ref="M4:N4"/>
    <mergeCell ref="O4:P4"/>
  </mergeCells>
  <phoneticPr fontId="11" type="noConversion"/>
  <conditionalFormatting sqref="G33:R40">
    <cfRule type="expression" dxfId="147" priority="12">
      <formula>G33&lt;1</formula>
    </cfRule>
  </conditionalFormatting>
  <conditionalFormatting sqref="G8:P27">
    <cfRule type="expression" dxfId="146" priority="9">
      <formula>G8&lt;$R8</formula>
    </cfRule>
  </conditionalFormatting>
  <conditionalFormatting sqref="G33:P40">
    <cfRule type="expression" dxfId="145" priority="81">
      <formula>G33&lt;$R33</formula>
    </cfRule>
  </conditionalFormatting>
  <conditionalFormatting sqref="G8:R27">
    <cfRule type="expression" dxfId="144" priority="3">
      <formula>G8&lt;1</formula>
    </cfRule>
  </conditionalFormatting>
  <conditionalFormatting sqref="G8:Q27">
    <cfRule type="expression" dxfId="143" priority="4">
      <formula>G8&gt;=$T8</formula>
    </cfRule>
  </conditionalFormatting>
  <conditionalFormatting sqref="G33:Q40">
    <cfRule type="expression" dxfId="142" priority="10">
      <formula>G33&gt;=$R33</formula>
    </cfRule>
  </conditionalFormatting>
  <pageMargins left="0.70866141732283472" right="0.70866141732283472" top="0.78740157480314965" bottom="0.78740157480314965" header="0.31496062992125984" footer="0.31496062992125984"/>
  <pageSetup paperSize="9" scale="68" fitToHeight="3" orientation="portrait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5722B-55BD-4330-8896-56678A47F36C}">
  <sheetPr codeName="Tabelle8"/>
  <dimension ref="A1:Z48"/>
  <sheetViews>
    <sheetView zoomScaleNormal="100" workbookViewId="0">
      <selection activeCell="E62" sqref="E62"/>
    </sheetView>
  </sheetViews>
  <sheetFormatPr defaultColWidth="11.42578125" defaultRowHeight="11.25"/>
  <cols>
    <col min="1" max="1" width="16.7109375" style="2" customWidth="1"/>
    <col min="2" max="2" width="5.7109375" style="2" customWidth="1"/>
    <col min="3" max="4" width="15.7109375" style="1" customWidth="1"/>
    <col min="5" max="5" width="15.7109375" style="20" customWidth="1"/>
    <col min="6" max="6" width="4.7109375" style="2" customWidth="1"/>
    <col min="7" max="9" width="7.7109375" style="2" customWidth="1"/>
    <col min="10" max="13" width="7.7109375" style="1" customWidth="1"/>
    <col min="14" max="14" width="3.85546875" style="1" customWidth="1"/>
    <col min="15" max="15" width="5.7109375" style="1" customWidth="1"/>
    <col min="16" max="24" width="3.28515625" style="1" customWidth="1"/>
    <col min="25" max="25" width="6.42578125" style="4" customWidth="1"/>
    <col min="26" max="26" width="3.28515625" style="4" customWidth="1"/>
    <col min="27" max="16384" width="11.42578125" style="1"/>
  </cols>
  <sheetData>
    <row r="1" spans="1:26" ht="60" customHeight="1" thickBot="1">
      <c r="A1" s="189" t="s">
        <v>47</v>
      </c>
      <c r="B1" s="190"/>
      <c r="C1" s="190"/>
      <c r="D1" s="187" t="s">
        <v>1</v>
      </c>
      <c r="E1" s="187"/>
      <c r="F1" s="187"/>
      <c r="G1" s="187"/>
      <c r="H1" s="187"/>
      <c r="I1" s="187"/>
      <c r="J1" s="187"/>
      <c r="K1" s="187"/>
      <c r="L1" s="187"/>
      <c r="M1" s="188"/>
      <c r="N1" s="22"/>
      <c r="O1" s="22"/>
      <c r="P1" s="22"/>
      <c r="Q1" s="22"/>
      <c r="R1" s="22"/>
      <c r="S1" s="22"/>
      <c r="T1" s="22"/>
      <c r="U1" s="22"/>
      <c r="V1" s="191"/>
      <c r="W1" s="191"/>
      <c r="X1" s="191"/>
    </row>
    <row r="2" spans="1:26" s="3" customFormat="1" ht="30" customHeight="1">
      <c r="A2" s="219" t="s">
        <v>111</v>
      </c>
      <c r="B2" s="220"/>
      <c r="C2" s="220"/>
      <c r="D2" s="196">
        <v>5</v>
      </c>
      <c r="E2" s="196"/>
      <c r="F2" s="197"/>
      <c r="G2" s="117" t="s">
        <v>3</v>
      </c>
      <c r="H2" s="115" t="s">
        <v>95</v>
      </c>
      <c r="I2" s="115" t="s">
        <v>3</v>
      </c>
      <c r="J2" s="115" t="s">
        <v>3</v>
      </c>
      <c r="K2" s="115" t="s">
        <v>3</v>
      </c>
      <c r="L2" s="118" t="s">
        <v>3</v>
      </c>
      <c r="M2" s="38"/>
      <c r="N2" s="85"/>
    </row>
    <row r="3" spans="1:26" s="3" customFormat="1" ht="75" customHeight="1">
      <c r="A3" s="221"/>
      <c r="B3" s="222"/>
      <c r="C3" s="222"/>
      <c r="D3" s="198"/>
      <c r="E3" s="198"/>
      <c r="F3" s="199"/>
      <c r="G3" s="74"/>
      <c r="H3" s="75"/>
      <c r="I3" s="75"/>
      <c r="J3" s="75"/>
      <c r="K3" s="75"/>
      <c r="L3" s="71" t="s">
        <v>4</v>
      </c>
      <c r="M3" s="39"/>
      <c r="N3" s="85"/>
    </row>
    <row r="4" spans="1:26" s="3" customFormat="1" ht="39.950000000000003" customHeight="1">
      <c r="A4" s="221"/>
      <c r="B4" s="222"/>
      <c r="C4" s="222"/>
      <c r="D4" s="198"/>
      <c r="E4" s="198"/>
      <c r="F4" s="199"/>
      <c r="G4" s="131" t="s">
        <v>5</v>
      </c>
      <c r="H4" s="111" t="s">
        <v>112</v>
      </c>
      <c r="I4" s="111" t="s">
        <v>48</v>
      </c>
      <c r="J4" s="111" t="s">
        <v>113</v>
      </c>
      <c r="K4" s="111" t="s">
        <v>7</v>
      </c>
      <c r="L4" s="116" t="s">
        <v>114</v>
      </c>
      <c r="M4" s="39"/>
      <c r="N4" s="85"/>
    </row>
    <row r="5" spans="1:26" s="3" customFormat="1" ht="90" customHeight="1">
      <c r="A5" s="221"/>
      <c r="B5" s="222"/>
      <c r="C5" s="222"/>
      <c r="D5" s="198"/>
      <c r="E5" s="198"/>
      <c r="F5" s="199"/>
      <c r="G5" s="131" t="s">
        <v>52</v>
      </c>
      <c r="H5" s="111" t="s">
        <v>133</v>
      </c>
      <c r="I5" s="111" t="s">
        <v>53</v>
      </c>
      <c r="J5" s="111" t="s">
        <v>54</v>
      </c>
      <c r="K5" s="111" t="s">
        <v>55</v>
      </c>
      <c r="L5" s="113" t="s">
        <v>56</v>
      </c>
      <c r="M5" s="39"/>
      <c r="N5" s="186" t="s">
        <v>17</v>
      </c>
      <c r="O5" s="89"/>
    </row>
    <row r="6" spans="1:26" s="3" customFormat="1" ht="24.95" customHeight="1" thickBot="1">
      <c r="A6" s="176" t="s">
        <v>18</v>
      </c>
      <c r="B6" s="177"/>
      <c r="C6" s="177"/>
      <c r="D6" s="177"/>
      <c r="E6" s="177"/>
      <c r="F6" s="214"/>
      <c r="G6" s="72"/>
      <c r="H6" s="73"/>
      <c r="I6" s="73"/>
      <c r="J6" s="67"/>
      <c r="K6" s="67"/>
      <c r="L6" s="45"/>
      <c r="M6" s="93"/>
      <c r="N6" s="186"/>
      <c r="O6" s="89"/>
    </row>
    <row r="7" spans="1:26" s="4" customFormat="1" ht="11.25" customHeight="1">
      <c r="A7" s="83" t="s">
        <v>19</v>
      </c>
      <c r="B7" s="4" t="s">
        <v>20</v>
      </c>
      <c r="C7" s="4" t="s">
        <v>21</v>
      </c>
      <c r="D7" s="4" t="s">
        <v>22</v>
      </c>
      <c r="E7" s="4" t="s">
        <v>23</v>
      </c>
      <c r="F7" s="4" t="s">
        <v>24</v>
      </c>
      <c r="G7" s="4" t="s">
        <v>25</v>
      </c>
      <c r="H7" s="4" t="s">
        <v>26</v>
      </c>
      <c r="I7" s="4" t="s">
        <v>27</v>
      </c>
      <c r="J7" s="4" t="s">
        <v>28</v>
      </c>
      <c r="K7" s="4" t="s">
        <v>29</v>
      </c>
      <c r="L7" s="4" t="s">
        <v>30</v>
      </c>
      <c r="M7" s="43" t="s">
        <v>33</v>
      </c>
      <c r="N7" s="83" t="s">
        <v>34</v>
      </c>
      <c r="O7" s="17" t="s">
        <v>35</v>
      </c>
      <c r="P7" s="17"/>
    </row>
    <row r="8" spans="1:26" ht="11.25" customHeight="1">
      <c r="A8" s="32"/>
      <c r="B8" s="20">
        <f>IF(drk1mu18[[#This Row],[Name]]="","",_xlfn.RANK.EQ(drk1mu18[[#This Row],[Result]],_xlnm.Criteria,0))</f>
        <v>1</v>
      </c>
      <c r="C8" s="1" t="s">
        <v>117</v>
      </c>
      <c r="D8" s="1" t="s">
        <v>118</v>
      </c>
      <c r="E8" s="2" t="s">
        <v>79</v>
      </c>
      <c r="F8" s="20" t="s">
        <v>39</v>
      </c>
      <c r="G8" s="5">
        <v>1E-3</v>
      </c>
      <c r="H8" s="5">
        <v>2E-3</v>
      </c>
      <c r="I8" s="5">
        <v>7</v>
      </c>
      <c r="J8" s="5">
        <v>4.0000000000000001E-3</v>
      </c>
      <c r="K8" s="5">
        <v>25</v>
      </c>
      <c r="L8" s="5">
        <v>25</v>
      </c>
      <c r="M8" s="33">
        <f>SUMPRODUCT(drk1mu18[[#This Row],[1]:[6]]*(drk1mu18[[#This Row],[1]:[6]]&gt;=drk1mu18[[#This Row],[L]]))</f>
        <v>57.006</v>
      </c>
      <c r="N8" s="99">
        <f>IF(drk1mu18[[#This Row],[Name]]="",0,LARGE(drk1mu18[[#This Row],[1]:[6]],$D$2))</f>
        <v>2E-3</v>
      </c>
      <c r="O8" s="88" t="str">
        <f>IF(OR((COUNTIFS(drk1mu18[[#This Row],[1]:[6]],"="&amp;drk1mu18[[#This Row],[L]])=6),(COUNTIFS(drk1mu18[[#This Row],[1]:[6]],"="&amp;drk1mu18[[#This Row],[L]])&lt;2)),"OK","Fehler (zu wenig Streicher) [Gleiche Werte jeweils um 0,1 erhöhen]")</f>
        <v>OK</v>
      </c>
      <c r="P8" s="6"/>
      <c r="Y8" s="1"/>
      <c r="Z8" s="1"/>
    </row>
    <row r="9" spans="1:26" ht="11.25" customHeight="1">
      <c r="A9" s="32"/>
      <c r="B9" s="20">
        <f>IF(drk1mu18[[#This Row],[Name]]="","",_xlfn.RANK.EQ(drk1mu18[[#This Row],[Result]],_xlnm.Criteria,0))</f>
        <v>2</v>
      </c>
      <c r="C9" s="1" t="s">
        <v>119</v>
      </c>
      <c r="D9" s="1" t="s">
        <v>90</v>
      </c>
      <c r="E9" s="2" t="s">
        <v>91</v>
      </c>
      <c r="F9" s="20" t="s">
        <v>39</v>
      </c>
      <c r="G9" s="5">
        <v>25</v>
      </c>
      <c r="H9" s="5">
        <v>2E-3</v>
      </c>
      <c r="I9" s="5">
        <v>12</v>
      </c>
      <c r="J9" s="5">
        <v>4.0000000000000001E-3</v>
      </c>
      <c r="K9" s="5">
        <v>5.0000000000000001E-3</v>
      </c>
      <c r="L9" s="5">
        <v>12</v>
      </c>
      <c r="M9" s="33">
        <f>SUMPRODUCT(drk1mu18[[#This Row],[1]:[6]]*(drk1mu18[[#This Row],[1]:[6]]&gt;=drk1mu18[[#This Row],[L]]))</f>
        <v>49.009</v>
      </c>
      <c r="N9" s="98">
        <f>IF(drk1mu18[[#This Row],[Name]]="",0,LARGE(drk1mu18[[#This Row],[1]:[6]],$D$2))</f>
        <v>4.0000000000000001E-3</v>
      </c>
      <c r="O9" s="91" t="str">
        <f>IF(OR((COUNTIFS(drk1mu18[[#This Row],[1]:[6]],"="&amp;drk1mu18[[#This Row],[L]])=6),(COUNTIFS(drk1mu18[[#This Row],[1]:[6]],"="&amp;drk1mu18[[#This Row],[L]])&lt;2)),"OK","Fehler (zu wenig Streicher) [Gleiche Werte jeweils um 0,1 erhöhen]")</f>
        <v>OK</v>
      </c>
      <c r="Y9" s="1"/>
      <c r="Z9" s="1"/>
    </row>
    <row r="10" spans="1:26" ht="11.25" customHeight="1">
      <c r="A10" s="32"/>
      <c r="B10" s="20">
        <f>IF(drk1mu18[[#This Row],[Name]]="","",_xlfn.RANK.EQ(drk1mu18[[#This Row],[Result]],_xlnm.Criteria,0))</f>
        <v>3</v>
      </c>
      <c r="C10" s="1" t="s">
        <v>134</v>
      </c>
      <c r="D10" s="1" t="s">
        <v>122</v>
      </c>
      <c r="E10" s="2" t="s">
        <v>38</v>
      </c>
      <c r="F10" s="20" t="s">
        <v>39</v>
      </c>
      <c r="G10" s="5">
        <v>1E-3</v>
      </c>
      <c r="H10" s="5">
        <v>2E-3</v>
      </c>
      <c r="I10" s="5">
        <v>25</v>
      </c>
      <c r="J10" s="5">
        <v>4.0000000000000001E-3</v>
      </c>
      <c r="K10" s="5">
        <v>5.0000000000000001E-3</v>
      </c>
      <c r="L10" s="5">
        <v>20</v>
      </c>
      <c r="M10" s="33">
        <f>SUMPRODUCT(drk1mu18[[#This Row],[1]:[6]]*(drk1mu18[[#This Row],[1]:[6]]&gt;=drk1mu18[[#This Row],[L]]))</f>
        <v>45.010999999999996</v>
      </c>
      <c r="N10" s="99">
        <f>IF(drk1mu18[[#This Row],[Name]]="",0,LARGE(drk1mu18[[#This Row],[1]:[6]],$D$2))</f>
        <v>2E-3</v>
      </c>
      <c r="O10" s="88" t="str">
        <f>IF(OR((COUNTIFS(drk1mu18[[#This Row],[1]:[6]],"="&amp;drk1mu18[[#This Row],[L]])=6),(COUNTIFS(drk1mu18[[#This Row],[1]:[6]],"="&amp;drk1mu18[[#This Row],[L]])&lt;2)),"OK","Fehler (zu wenig Streicher) [Gleiche Werte jeweils um 0,1 erhöhen]")</f>
        <v>OK</v>
      </c>
      <c r="P10" s="6"/>
      <c r="Y10" s="1"/>
      <c r="Z10" s="1"/>
    </row>
    <row r="11" spans="1:26" ht="11.25" customHeight="1">
      <c r="A11" s="32"/>
      <c r="B11" s="20">
        <f>IF(drk1mu18[[#This Row],[Name]]="","",_xlfn.RANK.EQ(drk1mu18[[#This Row],[Result]],_xlnm.Criteria,0))</f>
        <v>4</v>
      </c>
      <c r="C11" s="1" t="s">
        <v>80</v>
      </c>
      <c r="D11" s="1" t="s">
        <v>135</v>
      </c>
      <c r="E11" s="2" t="s">
        <v>79</v>
      </c>
      <c r="F11" s="20" t="s">
        <v>39</v>
      </c>
      <c r="G11" s="5">
        <v>1E-3</v>
      </c>
      <c r="H11" s="5">
        <v>2E-3</v>
      </c>
      <c r="I11" s="5">
        <v>8</v>
      </c>
      <c r="J11" s="5">
        <v>4.0000000000000001E-3</v>
      </c>
      <c r="K11" s="5">
        <v>20</v>
      </c>
      <c r="L11" s="5">
        <v>11</v>
      </c>
      <c r="M11" s="33">
        <f>SUMPRODUCT(drk1mu18[[#This Row],[1]:[6]]*(drk1mu18[[#This Row],[1]:[6]]&gt;=drk1mu18[[#This Row],[L]]))</f>
        <v>39.006</v>
      </c>
      <c r="N11" s="99">
        <f>IF(drk1mu18[[#This Row],[Name]]="",0,LARGE(drk1mu18[[#This Row],[1]:[6]],$D$2))</f>
        <v>2E-3</v>
      </c>
      <c r="O11" s="88" t="str">
        <f>IF(OR((COUNTIFS(drk1mu18[[#This Row],[1]:[6]],"="&amp;drk1mu18[[#This Row],[L]])=6),(COUNTIFS(drk1mu18[[#This Row],[1]:[6]],"="&amp;drk1mu18[[#This Row],[L]])&lt;2)),"OK","Fehler (zu wenig Streicher) [Gleiche Werte jeweils um 0,1 erhöhen]")</f>
        <v>OK</v>
      </c>
      <c r="Y11" s="1"/>
      <c r="Z11" s="1"/>
    </row>
    <row r="12" spans="1:26" ht="11.25" customHeight="1">
      <c r="A12" s="32"/>
      <c r="B12" s="20">
        <f>IF(drk1mu18[[#This Row],[Name]]="","",_xlfn.RANK.EQ(drk1mu18[[#This Row],[Result]],_xlnm.Criteria,0))</f>
        <v>5</v>
      </c>
      <c r="C12" s="1" t="s">
        <v>77</v>
      </c>
      <c r="D12" s="1" t="s">
        <v>123</v>
      </c>
      <c r="E12" s="2" t="s">
        <v>76</v>
      </c>
      <c r="F12" s="20" t="s">
        <v>39</v>
      </c>
      <c r="G12" s="5">
        <v>1E-3</v>
      </c>
      <c r="H12" s="5">
        <v>2E-3</v>
      </c>
      <c r="I12" s="5">
        <v>15</v>
      </c>
      <c r="J12" s="5">
        <v>4.0000000000000001E-3</v>
      </c>
      <c r="K12" s="5">
        <v>5.0000000000000001E-3</v>
      </c>
      <c r="L12" s="5">
        <v>15</v>
      </c>
      <c r="M12" s="33">
        <f>SUMPRODUCT(drk1mu18[[#This Row],[1]:[6]]*(drk1mu18[[#This Row],[1]:[6]]&gt;=drk1mu18[[#This Row],[L]]))</f>
        <v>30.011000000000003</v>
      </c>
      <c r="N12" s="99">
        <f>IF(drk1mu18[[#This Row],[Name]]="",0,LARGE(drk1mu18[[#This Row],[1]:[6]],$D$2))</f>
        <v>2E-3</v>
      </c>
      <c r="O12" s="88" t="str">
        <f>IF(OR((COUNTIFS(drk1mu18[[#This Row],[1]:[6]],"="&amp;drk1mu18[[#This Row],[L]])=6),(COUNTIFS(drk1mu18[[#This Row],[1]:[6]],"="&amp;drk1mu18[[#This Row],[L]])&lt;2)),"OK","Fehler (zu wenig Streicher) [Gleiche Werte jeweils um 0,1 erhöhen]")</f>
        <v>OK</v>
      </c>
      <c r="Y12" s="1"/>
      <c r="Z12" s="1"/>
    </row>
    <row r="13" spans="1:26" ht="11.25" customHeight="1">
      <c r="A13" s="32" t="s">
        <v>136</v>
      </c>
      <c r="B13" s="20">
        <f>IF(drk1mu18[[#This Row],[Name]]="","",_xlfn.RANK.EQ(drk1mu18[[#This Row],[Result]],_xlnm.Criteria,0))</f>
        <v>6</v>
      </c>
      <c r="C13" s="1" t="s">
        <v>124</v>
      </c>
      <c r="D13" s="1" t="s">
        <v>137</v>
      </c>
      <c r="E13" s="2" t="s">
        <v>62</v>
      </c>
      <c r="F13" s="20" t="s">
        <v>39</v>
      </c>
      <c r="G13" s="5">
        <v>1E-3</v>
      </c>
      <c r="H13" s="5">
        <v>2E-3</v>
      </c>
      <c r="I13" s="5">
        <v>10</v>
      </c>
      <c r="J13" s="5">
        <v>4.0000000000000001E-3</v>
      </c>
      <c r="K13" s="5">
        <v>5.0000000000000001E-3</v>
      </c>
      <c r="L13" s="5">
        <v>11</v>
      </c>
      <c r="M13" s="33">
        <f>SUMPRODUCT(drk1mu18[[#This Row],[1]:[6]]*(drk1mu18[[#This Row],[1]:[6]]&gt;=drk1mu18[[#This Row],[L]]))</f>
        <v>21.011000000000003</v>
      </c>
      <c r="N13" s="99">
        <f>IF(drk1mu18[[#This Row],[Name]]="",0,LARGE(drk1mu18[[#This Row],[1]:[6]],$D$2))</f>
        <v>2E-3</v>
      </c>
      <c r="O13" s="88" t="str">
        <f>IF(OR((COUNTIFS(drk1mu18[[#This Row],[1]:[6]],"="&amp;drk1mu18[[#This Row],[L]])=6),(COUNTIFS(drk1mu18[[#This Row],[1]:[6]],"="&amp;drk1mu18[[#This Row],[L]])&lt;2)),"OK","Fehler (zu wenig Streicher) [Gleiche Werte jeweils um 0,1 erhöhen]")</f>
        <v>OK</v>
      </c>
      <c r="Y13" s="1"/>
      <c r="Z13" s="1"/>
    </row>
    <row r="14" spans="1:26" ht="11.25" customHeight="1">
      <c r="A14" s="32"/>
      <c r="B14" s="20">
        <f>IF(drk1mu18[[#This Row],[Name]]="","",_xlfn.RANK.EQ(drk1mu18[[#This Row],[Result]],_xlnm.Criteria,0))</f>
        <v>7</v>
      </c>
      <c r="C14" s="1" t="s">
        <v>138</v>
      </c>
      <c r="D14" s="1" t="s">
        <v>42</v>
      </c>
      <c r="E14" s="2" t="s">
        <v>62</v>
      </c>
      <c r="F14" s="20" t="s">
        <v>39</v>
      </c>
      <c r="G14" s="5">
        <v>1E-3</v>
      </c>
      <c r="H14" s="5">
        <v>2E-3</v>
      </c>
      <c r="I14" s="5">
        <v>20</v>
      </c>
      <c r="J14" s="5">
        <v>4.0000000000000001E-3</v>
      </c>
      <c r="K14" s="5">
        <v>5.0000000000000001E-3</v>
      </c>
      <c r="L14" s="5">
        <v>6.0000000000000001E-3</v>
      </c>
      <c r="M14" s="33">
        <f>SUMPRODUCT(drk1mu18[[#This Row],[1]:[6]]*(drk1mu18[[#This Row],[1]:[6]]&gt;=drk1mu18[[#This Row],[L]]))</f>
        <v>20.016999999999999</v>
      </c>
      <c r="N14" s="99">
        <f>IF(drk1mu18[[#This Row],[Name]]="",0,LARGE(drk1mu18[[#This Row],[1]:[6]],$D$2))</f>
        <v>2E-3</v>
      </c>
      <c r="O14" s="88" t="str">
        <f>IF(OR((COUNTIFS(drk1mu18[[#This Row],[1]:[6]],"="&amp;drk1mu18[[#This Row],[L]])=6),(COUNTIFS(drk1mu18[[#This Row],[1]:[6]],"="&amp;drk1mu18[[#This Row],[L]])&lt;2)),"OK","Fehler (zu wenig Streicher) [Gleiche Werte jeweils um 0,1 erhöhen]")</f>
        <v>OK</v>
      </c>
      <c r="Y14" s="1"/>
      <c r="Z14" s="1"/>
    </row>
    <row r="15" spans="1:26" ht="11.25" customHeight="1">
      <c r="A15" s="32"/>
      <c r="B15" s="20">
        <f>IF(drk1mu18[[#This Row],[Name]]="","",_xlfn.RANK.EQ(drk1mu18[[#This Row],[Result]],_xlnm.Criteria,0))</f>
        <v>8</v>
      </c>
      <c r="C15" s="1" t="s">
        <v>126</v>
      </c>
      <c r="D15" s="1" t="s">
        <v>139</v>
      </c>
      <c r="E15" s="2" t="s">
        <v>38</v>
      </c>
      <c r="F15" s="20" t="s">
        <v>39</v>
      </c>
      <c r="G15" s="5">
        <v>1E-3</v>
      </c>
      <c r="H15" s="5">
        <v>2E-3</v>
      </c>
      <c r="I15" s="5">
        <v>9</v>
      </c>
      <c r="J15" s="5">
        <v>4.0000000000000001E-3</v>
      </c>
      <c r="K15" s="5">
        <v>5.0000000000000001E-3</v>
      </c>
      <c r="L15" s="5">
        <v>9</v>
      </c>
      <c r="M15" s="33">
        <f>SUMPRODUCT(drk1mu18[[#This Row],[1]:[6]]*(drk1mu18[[#This Row],[1]:[6]]&gt;=drk1mu18[[#This Row],[L]]))</f>
        <v>18.011000000000003</v>
      </c>
      <c r="N15" s="99">
        <f>IF(drk1mu18[[#This Row],[Name]]="",0,LARGE(drk1mu18[[#This Row],[1]:[6]],$D$2))</f>
        <v>2E-3</v>
      </c>
      <c r="O15" s="88" t="str">
        <f>IF(OR((COUNTIFS(drk1mu18[[#This Row],[1]:[6]],"="&amp;drk1mu18[[#This Row],[L]])=6),(COUNTIFS(drk1mu18[[#This Row],[1]:[6]],"="&amp;drk1mu18[[#This Row],[L]])&lt;2)),"OK","Fehler (zu wenig Streicher) [Gleiche Werte jeweils um 0,1 erhöhen]")</f>
        <v>OK</v>
      </c>
      <c r="Y15" s="1"/>
      <c r="Z15" s="1"/>
    </row>
    <row r="16" spans="1:26" ht="11.25" customHeight="1">
      <c r="A16" s="32"/>
      <c r="B16" s="20">
        <f>IF(drk1mu18[[#This Row],[Name]]="","",_xlfn.RANK.EQ(drk1mu18[[#This Row],[Result]],_xlnm.Criteria,0))</f>
        <v>9</v>
      </c>
      <c r="C16" s="1" t="s">
        <v>127</v>
      </c>
      <c r="D16" s="1" t="s">
        <v>128</v>
      </c>
      <c r="E16" s="2" t="s">
        <v>38</v>
      </c>
      <c r="F16" s="20" t="s">
        <v>39</v>
      </c>
      <c r="G16" s="5">
        <v>1E-3</v>
      </c>
      <c r="H16" s="5">
        <v>2E-3</v>
      </c>
      <c r="I16" s="5">
        <v>11</v>
      </c>
      <c r="J16" s="5">
        <v>4.0000000000000001E-3</v>
      </c>
      <c r="K16" s="5">
        <v>5.0000000000000001E-3</v>
      </c>
      <c r="L16" s="5">
        <v>6.0000000000000001E-3</v>
      </c>
      <c r="M16" s="33">
        <f>SUMPRODUCT(drk1mu18[[#This Row],[1]:[6]]*(drk1mu18[[#This Row],[1]:[6]]&gt;=drk1mu18[[#This Row],[L]]))</f>
        <v>11.017000000000001</v>
      </c>
      <c r="N16" s="99">
        <f>IF(drk1mu18[[#This Row],[Name]]="",0,LARGE(drk1mu18[[#This Row],[1]:[6]],$D$2))</f>
        <v>2E-3</v>
      </c>
      <c r="O16" s="88" t="str">
        <f>IF(OR((COUNTIFS(drk1mu18[[#This Row],[1]:[6]],"="&amp;drk1mu18[[#This Row],[L]])=6),(COUNTIFS(drk1mu18[[#This Row],[1]:[6]],"="&amp;drk1mu18[[#This Row],[L]])&lt;2)),"OK","Fehler (zu wenig Streicher) [Gleiche Werte jeweils um 0,1 erhöhen]")</f>
        <v>OK</v>
      </c>
      <c r="Y16" s="1"/>
      <c r="Z16" s="1"/>
    </row>
    <row r="17" spans="1:26" ht="11.25" hidden="1" customHeight="1">
      <c r="A17" s="32"/>
      <c r="B17" s="20" t="str">
        <f>IF(drk1mu18[[#This Row],[Name]]="","",_xlfn.RANK.EQ(drk1mu18[[#This Row],[Result]],_xlnm.Criteria,0))</f>
        <v/>
      </c>
      <c r="E17" s="2"/>
      <c r="F17" s="20"/>
      <c r="G17" s="5">
        <v>1E-3</v>
      </c>
      <c r="H17" s="5">
        <v>2E-3</v>
      </c>
      <c r="I17" s="5">
        <v>3.0000000000000001E-3</v>
      </c>
      <c r="J17" s="5">
        <v>4.0000000000000001E-3</v>
      </c>
      <c r="K17" s="5">
        <v>5.0000000000000001E-3</v>
      </c>
      <c r="L17" s="5">
        <v>6.0000000000000001E-3</v>
      </c>
      <c r="M17" s="33">
        <f>SUMPRODUCT(drk1mu18[[#This Row],[1]:[6]]*(drk1mu18[[#This Row],[1]:[6]]&gt;=drk1mu18[[#This Row],[L]]))</f>
        <v>2.0999999999999998E-2</v>
      </c>
      <c r="N17" s="99">
        <f>IF(drk1mu18[[#This Row],[Name]]="",0,LARGE(drk1mu18[[#This Row],[1]:[6]],$D$2))</f>
        <v>0</v>
      </c>
      <c r="O17" s="88" t="str">
        <f>IF(OR((COUNTIFS(drk1mu18[[#This Row],[1]:[6]],"="&amp;drk1mu18[[#This Row],[L]])=6),(COUNTIFS(drk1mu18[[#This Row],[1]:[6]],"="&amp;drk1mu18[[#This Row],[L]])&lt;2)),"OK","Fehler (zu wenig Streicher) [Gleiche Werte jeweils um 0,1 erhöhen]")</f>
        <v>OK</v>
      </c>
      <c r="Y17" s="1"/>
      <c r="Z17" s="1"/>
    </row>
    <row r="18" spans="1:26" ht="11.25" hidden="1" customHeight="1">
      <c r="A18" s="32"/>
      <c r="B18" s="20" t="str">
        <f>IF(drk1mu18[[#This Row],[Name]]="","",_xlfn.RANK.EQ(drk1mu18[[#This Row],[Result]],_xlnm.Criteria,0))</f>
        <v/>
      </c>
      <c r="E18" s="2"/>
      <c r="F18" s="20"/>
      <c r="G18" s="5">
        <v>1E-3</v>
      </c>
      <c r="H18" s="5">
        <v>2E-3</v>
      </c>
      <c r="I18" s="5">
        <v>3.0000000000000001E-3</v>
      </c>
      <c r="J18" s="5">
        <v>4.0000000000000001E-3</v>
      </c>
      <c r="K18" s="5">
        <v>5.0000000000000001E-3</v>
      </c>
      <c r="L18" s="5">
        <v>6.0000000000000001E-3</v>
      </c>
      <c r="M18" s="33">
        <f>SUMPRODUCT(drk1mu18[[#This Row],[1]:[6]]*(drk1mu18[[#This Row],[1]:[6]]&gt;=drk1mu18[[#This Row],[L]]))</f>
        <v>2.0999999999999998E-2</v>
      </c>
      <c r="N18" s="99">
        <f>IF(drk1mu18[[#This Row],[Name]]="",0,LARGE(drk1mu18[[#This Row],[1]:[6]],$D$2))</f>
        <v>0</v>
      </c>
      <c r="O18" s="88" t="str">
        <f>IF(OR((COUNTIFS(drk1mu18[[#This Row],[1]:[6]],"="&amp;drk1mu18[[#This Row],[L]])=6),(COUNTIFS(drk1mu18[[#This Row],[1]:[6]],"="&amp;drk1mu18[[#This Row],[L]])&lt;2)),"OK","Fehler (zu wenig Streicher) [Gleiche Werte jeweils um 0,1 erhöhen]")</f>
        <v>OK</v>
      </c>
      <c r="Y18" s="1"/>
      <c r="Z18" s="1"/>
    </row>
    <row r="19" spans="1:26" ht="11.25" hidden="1" customHeight="1">
      <c r="A19" s="32"/>
      <c r="B19" s="20" t="str">
        <f>IF(drk1mu18[[#This Row],[Name]]="","",_xlfn.RANK.EQ(drk1mu18[[#This Row],[Result]],_xlnm.Criteria,0))</f>
        <v/>
      </c>
      <c r="E19" s="2"/>
      <c r="F19" s="20"/>
      <c r="G19" s="5">
        <v>1E-3</v>
      </c>
      <c r="H19" s="5">
        <v>2E-3</v>
      </c>
      <c r="I19" s="5">
        <v>3.0000000000000001E-3</v>
      </c>
      <c r="J19" s="5">
        <v>4.0000000000000001E-3</v>
      </c>
      <c r="K19" s="5">
        <v>5.0000000000000001E-3</v>
      </c>
      <c r="L19" s="5">
        <v>6.0000000000000001E-3</v>
      </c>
      <c r="M19" s="33">
        <f>SUMPRODUCT(drk1mu18[[#This Row],[1]:[6]]*(drk1mu18[[#This Row],[1]:[6]]&gt;=drk1mu18[[#This Row],[L]]))</f>
        <v>2.0999999999999998E-2</v>
      </c>
      <c r="N19" s="99">
        <f>IF(drk1mu18[[#This Row],[Name]]="",0,LARGE(drk1mu18[[#This Row],[1]:[6]],$D$2))</f>
        <v>0</v>
      </c>
      <c r="O19" s="88" t="str">
        <f>IF(OR((COUNTIFS(drk1mu18[[#This Row],[1]:[6]],"="&amp;drk1mu18[[#This Row],[L]])=6),(COUNTIFS(drk1mu18[[#This Row],[1]:[6]],"="&amp;drk1mu18[[#This Row],[L]])&lt;2)),"OK","Fehler (zu wenig Streicher) [Gleiche Werte jeweils um 0,1 erhöhen]")</f>
        <v>OK</v>
      </c>
      <c r="Y19" s="1"/>
      <c r="Z19" s="1"/>
    </row>
    <row r="20" spans="1:26" customFormat="1" ht="11.25" hidden="1" customHeight="1">
      <c r="A20" s="32"/>
      <c r="B20" s="20" t="str">
        <f>IF(drk1mu18[[#This Row],[Name]]="","",_xlfn.RANK.EQ(drk1mu18[[#This Row],[Result]],_xlnm.Criteria,0))</f>
        <v/>
      </c>
      <c r="E20" s="7"/>
      <c r="F20" s="20"/>
      <c r="G20" s="5">
        <v>1E-3</v>
      </c>
      <c r="H20" s="5">
        <v>2E-3</v>
      </c>
      <c r="I20" s="5">
        <v>3.0000000000000001E-3</v>
      </c>
      <c r="J20" s="5">
        <v>4.0000000000000001E-3</v>
      </c>
      <c r="K20" s="5">
        <v>5.0000000000000001E-3</v>
      </c>
      <c r="L20" s="5">
        <v>6.0000000000000001E-3</v>
      </c>
      <c r="M20" s="33">
        <f>SUMPRODUCT(drk1mu18[[#This Row],[1]:[6]]*(drk1mu18[[#This Row],[1]:[6]]&gt;=drk1mu18[[#This Row],[L]]))</f>
        <v>2.0999999999999998E-2</v>
      </c>
      <c r="N20" s="99">
        <f>IF(drk1mu18[[#This Row],[Name]]="",0,LARGE(drk1mu18[[#This Row],[1]:[6]],$D$2))</f>
        <v>0</v>
      </c>
      <c r="O20" s="88" t="str">
        <f>IF(OR((COUNTIFS(drk1mu18[[#This Row],[1]:[6]],"="&amp;drk1mu18[[#This Row],[L]])=6),(COUNTIFS(drk1mu18[[#This Row],[1]:[6]],"="&amp;drk1mu18[[#This Row],[L]])&lt;2)),"OK","Fehler (zu wenig Streicher) [Gleiche Werte jeweils um 0,1 erhöhen]")</f>
        <v>OK</v>
      </c>
    </row>
    <row r="21" spans="1:26" customFormat="1" ht="11.25" hidden="1" customHeight="1">
      <c r="A21" s="32"/>
      <c r="B21" s="20" t="str">
        <f>IF(drk1mu18[[#This Row],[Name]]="","",_xlfn.RANK.EQ(drk1mu18[[#This Row],[Result]],_xlnm.Criteria,0))</f>
        <v/>
      </c>
      <c r="E21" s="7"/>
      <c r="F21" s="20"/>
      <c r="G21" s="5">
        <v>1E-3</v>
      </c>
      <c r="H21" s="5">
        <v>2E-3</v>
      </c>
      <c r="I21" s="5">
        <v>3.0000000000000001E-3</v>
      </c>
      <c r="J21" s="5">
        <v>4.0000000000000001E-3</v>
      </c>
      <c r="K21" s="5">
        <v>5.0000000000000001E-3</v>
      </c>
      <c r="L21" s="5">
        <v>6.0000000000000001E-3</v>
      </c>
      <c r="M21" s="33">
        <f>SUMPRODUCT(drk1mu18[[#This Row],[1]:[6]]*(drk1mu18[[#This Row],[1]:[6]]&gt;=drk1mu18[[#This Row],[L]]))</f>
        <v>2.0999999999999998E-2</v>
      </c>
      <c r="N21" s="99">
        <f>IF(drk1mu18[[#This Row],[Name]]="",0,LARGE(drk1mu18[[#This Row],[1]:[6]],$D$2))</f>
        <v>0</v>
      </c>
      <c r="O21" s="88" t="str">
        <f>IF(OR((COUNTIFS(drk1mu18[[#This Row],[1]:[6]],"="&amp;drk1mu18[[#This Row],[L]])=6),(COUNTIFS(drk1mu18[[#This Row],[1]:[6]],"="&amp;drk1mu18[[#This Row],[L]])&lt;2)),"OK","Fehler (zu wenig Streicher) [Gleiche Werte jeweils um 0,1 erhöhen]")</f>
        <v>OK</v>
      </c>
    </row>
    <row r="22" spans="1:26" customFormat="1" ht="11.25" hidden="1" customHeight="1">
      <c r="A22" s="32"/>
      <c r="B22" s="20" t="str">
        <f>IF(drk1mu18[[#This Row],[Name]]="","",_xlfn.RANK.EQ(drk1mu18[[#This Row],[Result]],_xlnm.Criteria,0))</f>
        <v/>
      </c>
      <c r="E22" s="7"/>
      <c r="F22" s="20"/>
      <c r="G22" s="5">
        <v>1E-3</v>
      </c>
      <c r="H22" s="5">
        <v>2E-3</v>
      </c>
      <c r="I22" s="5">
        <v>3.0000000000000001E-3</v>
      </c>
      <c r="J22" s="5">
        <v>4.0000000000000001E-3</v>
      </c>
      <c r="K22" s="5">
        <v>5.0000000000000001E-3</v>
      </c>
      <c r="L22" s="5">
        <v>6.0000000000000001E-3</v>
      </c>
      <c r="M22" s="33">
        <f>SUMPRODUCT(drk1mu18[[#This Row],[1]:[6]]*(drk1mu18[[#This Row],[1]:[6]]&gt;=drk1mu18[[#This Row],[L]]))</f>
        <v>2.0999999999999998E-2</v>
      </c>
      <c r="N22" s="99">
        <f>IF(drk1mu18[[#This Row],[Name]]="",0,LARGE(drk1mu18[[#This Row],[1]:[6]],$D$2))</f>
        <v>0</v>
      </c>
      <c r="O22" s="88" t="str">
        <f>IF(OR((COUNTIFS(drk1mu18[[#This Row],[1]:[6]],"="&amp;drk1mu18[[#This Row],[L]])=6),(COUNTIFS(drk1mu18[[#This Row],[1]:[6]],"="&amp;drk1mu18[[#This Row],[L]])&lt;2)),"OK","Fehler (zu wenig Streicher) [Gleiche Werte jeweils um 0,1 erhöhen]")</f>
        <v>OK</v>
      </c>
    </row>
    <row r="23" spans="1:26" ht="11.25" hidden="1" customHeight="1">
      <c r="A23" s="32"/>
      <c r="B23" s="20" t="str">
        <f>IF(drk1mu18[[#This Row],[Name]]="","",_xlfn.RANK.EQ(drk1mu18[[#This Row],[Result]],_xlnm.Criteria,0))</f>
        <v/>
      </c>
      <c r="E23" s="2"/>
      <c r="F23" s="20"/>
      <c r="G23" s="5">
        <v>1E-3</v>
      </c>
      <c r="H23" s="5">
        <v>2E-3</v>
      </c>
      <c r="I23" s="5">
        <v>3.0000000000000001E-3</v>
      </c>
      <c r="J23" s="5">
        <v>4.0000000000000001E-3</v>
      </c>
      <c r="K23" s="5">
        <v>5.0000000000000001E-3</v>
      </c>
      <c r="L23" s="5">
        <v>6.0000000000000001E-3</v>
      </c>
      <c r="M23" s="33">
        <f>SUMPRODUCT(drk1mu18[[#This Row],[1]:[6]]*(drk1mu18[[#This Row],[1]:[6]]&gt;=drk1mu18[[#This Row],[L]]))</f>
        <v>2.0999999999999998E-2</v>
      </c>
      <c r="N23" s="99">
        <f>IF(drk1mu18[[#This Row],[Name]]="",0,LARGE(drk1mu18[[#This Row],[1]:[6]],$D$2))</f>
        <v>0</v>
      </c>
      <c r="O23" s="88" t="str">
        <f>IF(OR((COUNTIFS(drk1mu18[[#This Row],[1]:[6]],"="&amp;drk1mu18[[#This Row],[L]])=6),(COUNTIFS(drk1mu18[[#This Row],[1]:[6]],"="&amp;drk1mu18[[#This Row],[L]])&lt;2)),"OK","Fehler (zu wenig Streicher) [Gleiche Werte jeweils um 0,1 erhöhen]")</f>
        <v>OK</v>
      </c>
      <c r="Y23" s="1"/>
      <c r="Z23" s="1"/>
    </row>
    <row r="24" spans="1:26" ht="11.25" hidden="1" customHeight="1">
      <c r="A24" s="32"/>
      <c r="B24" s="20" t="str">
        <f>IF(drk1mu18[[#This Row],[Name]]="","",_xlfn.RANK.EQ(drk1mu18[[#This Row],[Result]],_xlnm.Criteria,0))</f>
        <v/>
      </c>
      <c r="E24" s="2"/>
      <c r="F24" s="20"/>
      <c r="G24" s="5">
        <v>1E-3</v>
      </c>
      <c r="H24" s="5">
        <v>2E-3</v>
      </c>
      <c r="I24" s="5">
        <v>3.0000000000000001E-3</v>
      </c>
      <c r="J24" s="5">
        <v>4.0000000000000001E-3</v>
      </c>
      <c r="K24" s="5">
        <v>5.0000000000000001E-3</v>
      </c>
      <c r="L24" s="5">
        <v>6.0000000000000001E-3</v>
      </c>
      <c r="M24" s="33">
        <f>SUMPRODUCT(drk1mu18[[#This Row],[1]:[6]]*(drk1mu18[[#This Row],[1]:[6]]&gt;=drk1mu18[[#This Row],[L]]))</f>
        <v>2.0999999999999998E-2</v>
      </c>
      <c r="N24" s="99">
        <f>IF(drk1mu18[[#This Row],[Name]]="",0,LARGE(drk1mu18[[#This Row],[1]:[6]],$D$2))</f>
        <v>0</v>
      </c>
      <c r="O24" s="88" t="str">
        <f>IF(OR((COUNTIFS(drk1mu18[[#This Row],[1]:[6]],"="&amp;drk1mu18[[#This Row],[L]])=6),(COUNTIFS(drk1mu18[[#This Row],[1]:[6]],"="&amp;drk1mu18[[#This Row],[L]])&lt;2)),"OK","Fehler (zu wenig Streicher) [Gleiche Werte jeweils um 0,1 erhöhen]")</f>
        <v>OK</v>
      </c>
      <c r="Y24" s="1"/>
      <c r="Z24" s="1"/>
    </row>
    <row r="25" spans="1:26" ht="11.25" hidden="1" customHeight="1" thickBot="1">
      <c r="A25" s="34"/>
      <c r="B25" s="35" t="str">
        <f>IF(drk1mu18[[#This Row],[Name]]="","",_xlfn.RANK.EQ(drk1mu18[[#This Row],[Result]],_xlnm.Criteria,0))</f>
        <v/>
      </c>
      <c r="C25" s="51"/>
      <c r="D25" s="51"/>
      <c r="E25" s="52"/>
      <c r="F25" s="35"/>
      <c r="G25" s="36">
        <v>1E-3</v>
      </c>
      <c r="H25" s="36">
        <v>2E-3</v>
      </c>
      <c r="I25" s="36">
        <v>3.0000000000000001E-3</v>
      </c>
      <c r="J25" s="36">
        <v>4.0000000000000001E-3</v>
      </c>
      <c r="K25" s="36">
        <v>5.0000000000000001E-3</v>
      </c>
      <c r="L25" s="36">
        <v>6.0000000000000001E-3</v>
      </c>
      <c r="M25" s="37">
        <f>SUMPRODUCT(drk1mu18[[#This Row],[1]:[6]]*(drk1mu18[[#This Row],[1]:[6]]&gt;=drk1mu18[[#This Row],[L]]))</f>
        <v>2.0999999999999998E-2</v>
      </c>
      <c r="N25" s="99">
        <f>IF(drk1mu18[[#This Row],[Name]]="",0,LARGE(drk1mu18[[#This Row],[1]:[6]],$D$2))</f>
        <v>0</v>
      </c>
      <c r="O25" s="88" t="str">
        <f>IF(OR((COUNTIFS(drk1mu18[[#This Row],[1]:[6]],"="&amp;drk1mu18[[#This Row],[L]])=6),(COUNTIFS(drk1mu18[[#This Row],[1]:[6]],"="&amp;drk1mu18[[#This Row],[L]])&lt;2)),"OK","Fehler (zu wenig Streicher) [Gleiche Werte jeweils um 0,1 erhöhen]")</f>
        <v>OK</v>
      </c>
      <c r="Y25" s="1"/>
      <c r="Z25" s="1"/>
    </row>
    <row r="28" spans="1:26" ht="15" customHeight="1">
      <c r="M28" s="3"/>
      <c r="N28" s="174" t="s">
        <v>17</v>
      </c>
      <c r="O28" s="89"/>
    </row>
    <row r="29" spans="1:26" ht="24.95" customHeight="1" thickBot="1">
      <c r="A29" s="176" t="s">
        <v>40</v>
      </c>
      <c r="B29" s="177"/>
      <c r="C29" s="177"/>
      <c r="D29" s="177"/>
      <c r="E29" s="177"/>
      <c r="F29" s="214"/>
      <c r="G29" s="72"/>
      <c r="H29" s="73"/>
      <c r="I29" s="73"/>
      <c r="J29" s="67"/>
      <c r="K29" s="67"/>
      <c r="L29" s="45"/>
      <c r="M29" s="93"/>
      <c r="N29" s="186"/>
      <c r="O29" s="89"/>
    </row>
    <row r="30" spans="1:26" ht="11.25" customHeight="1">
      <c r="A30" s="83" t="s">
        <v>19</v>
      </c>
      <c r="B30" s="4" t="s">
        <v>20</v>
      </c>
      <c r="C30" s="4" t="s">
        <v>21</v>
      </c>
      <c r="D30" s="4" t="s">
        <v>22</v>
      </c>
      <c r="E30" s="4" t="s">
        <v>23</v>
      </c>
      <c r="F30" s="4" t="s">
        <v>24</v>
      </c>
      <c r="G30" s="4" t="s">
        <v>25</v>
      </c>
      <c r="H30" s="4" t="s">
        <v>26</v>
      </c>
      <c r="I30" s="4" t="s">
        <v>27</v>
      </c>
      <c r="J30" s="4" t="s">
        <v>28</v>
      </c>
      <c r="K30" s="4" t="s">
        <v>29</v>
      </c>
      <c r="L30" s="4" t="s">
        <v>30</v>
      </c>
      <c r="M30" s="43" t="s">
        <v>33</v>
      </c>
      <c r="N30" s="83" t="s">
        <v>34</v>
      </c>
      <c r="O30" s="17" t="s">
        <v>35</v>
      </c>
    </row>
    <row r="31" spans="1:26" ht="11.25" customHeight="1">
      <c r="A31" s="32"/>
      <c r="B31" s="20">
        <f>IF(drk1wu18[[#This Row],[Name]]="","",_xlfn.RANK.EQ(drk1wu18[[#This Row],[Result]],drk1wu18[Result],0))</f>
        <v>1</v>
      </c>
      <c r="C31" s="1" t="s">
        <v>130</v>
      </c>
      <c r="D31" s="1" t="s">
        <v>42</v>
      </c>
      <c r="E31" s="2" t="s">
        <v>62</v>
      </c>
      <c r="F31" s="20" t="s">
        <v>39</v>
      </c>
      <c r="G31" s="5">
        <v>1E-3</v>
      </c>
      <c r="H31" s="5">
        <v>2E-3</v>
      </c>
      <c r="I31" s="5">
        <v>25</v>
      </c>
      <c r="J31" s="5">
        <v>4.0000000000000001E-3</v>
      </c>
      <c r="K31" s="5">
        <v>5.0000000000000001E-3</v>
      </c>
      <c r="L31" s="5">
        <v>6.0000000000000001E-3</v>
      </c>
      <c r="M31" s="33">
        <f>SUMPRODUCT(drk1wu18[[#This Row],[1]:[6]]*(drk1wu18[[#This Row],[1]:[6]]&gt;=drk1wu18[[#This Row],[L]]))</f>
        <v>25.016999999999999</v>
      </c>
      <c r="N31" s="98">
        <f>IF(drk1wu18[[#This Row],[Name]]="",0,LARGE(drk1wu18[[#This Row],[1]:[6]],$D$2))</f>
        <v>2E-3</v>
      </c>
      <c r="O31" s="91" t="str">
        <f>IF(OR((COUNTIFS(drk1wu18[[#This Row],[1]:[6]],"="&amp;drk1wu18[[#This Row],[L]])=6),(COUNTIFS(drk1wu18[[#This Row],[1]:[6]],"="&amp;drk1wu18[[#This Row],[L]])&lt;2)),"OK","Fehler (zu wenig Streicher) [Gleiche Werte jeweils um 0,1 erhöhen]")</f>
        <v>OK</v>
      </c>
    </row>
    <row r="32" spans="1:26" ht="11.25" hidden="1" customHeight="1">
      <c r="A32" s="32"/>
      <c r="B32" s="20">
        <f>IF(drk1wu18[[#This Row],[Name]]="","",_xlfn.RANK.EQ(drk1wu18[[#This Row],[Result]],drk1wu18[Result],0))</f>
        <v>12</v>
      </c>
      <c r="C32" s="1" t="s">
        <v>92</v>
      </c>
      <c r="D32" s="1" t="s">
        <v>93</v>
      </c>
      <c r="E32" s="2" t="s">
        <v>94</v>
      </c>
      <c r="F32" s="20" t="s">
        <v>39</v>
      </c>
      <c r="G32" s="5">
        <v>1E-3</v>
      </c>
      <c r="H32" s="5">
        <v>2E-3</v>
      </c>
      <c r="I32" s="5">
        <v>3.0000000000000001E-3</v>
      </c>
      <c r="J32" s="5">
        <v>4.0000000000000001E-3</v>
      </c>
      <c r="K32" s="5">
        <v>5.0000000000000001E-3</v>
      </c>
      <c r="L32" s="5">
        <v>6.0000000000000001E-3</v>
      </c>
      <c r="M32" s="33">
        <f>SUMPRODUCT(drk1wu18[[#This Row],[1]:[6]]*(drk1wu18[[#This Row],[1]:[6]]&gt;=drk1wu18[[#This Row],[L]]))</f>
        <v>2.0000000000000004E-2</v>
      </c>
      <c r="N32" s="99">
        <f>IF(drk1wu18[[#This Row],[Name]]="",0,LARGE(drk1wu18[[#This Row],[1]:[6]],$D$2))</f>
        <v>2E-3</v>
      </c>
      <c r="O32" s="6" t="str">
        <f>IF(OR((COUNTIFS(drk1wu18[[#This Row],[1]:[6]],"="&amp;drk1wu18[[#This Row],[L]])=6),(COUNTIFS(drk1wu18[[#This Row],[1]:[6]],"="&amp;drk1wu18[[#This Row],[L]])&lt;2)),"OK","Fehler (zu wenig Streicher) [Gleiche Werte jeweils um 0,1 erhöhen]")</f>
        <v>OK</v>
      </c>
    </row>
    <row r="33" spans="1:15" ht="11.25" hidden="1" customHeight="1">
      <c r="A33" s="32"/>
      <c r="B33" s="20">
        <f>IF(drk1wu18[[#This Row],[Name]]="","",_xlfn.RANK.EQ(drk1wu18[[#This Row],[Result]],drk1wu18[Result],0))</f>
        <v>12</v>
      </c>
      <c r="C33" s="1" t="s">
        <v>92</v>
      </c>
      <c r="D33" s="1" t="s">
        <v>93</v>
      </c>
      <c r="E33" s="2" t="s">
        <v>94</v>
      </c>
      <c r="F33" s="20" t="s">
        <v>39</v>
      </c>
      <c r="G33" s="5">
        <v>1E-3</v>
      </c>
      <c r="H33" s="5">
        <v>2E-3</v>
      </c>
      <c r="I33" s="5">
        <v>3.0000000000000001E-3</v>
      </c>
      <c r="J33" s="5">
        <v>4.0000000000000001E-3</v>
      </c>
      <c r="K33" s="5">
        <v>5.0000000000000001E-3</v>
      </c>
      <c r="L33" s="5">
        <v>6.0000000000000001E-3</v>
      </c>
      <c r="M33" s="33">
        <f>SUMPRODUCT(drk1wu18[[#This Row],[1]:[6]]*(drk1wu18[[#This Row],[1]:[6]]&gt;=drk1wu18[[#This Row],[L]]))</f>
        <v>2.0000000000000004E-2</v>
      </c>
      <c r="N33" s="99">
        <f>IF(drk1wu18[[#This Row],[Name]]="",0,LARGE(drk1wu18[[#This Row],[1]:[6]],$D$2))</f>
        <v>2E-3</v>
      </c>
      <c r="O33" s="6" t="str">
        <f>IF(OR((COUNTIFS(drk1wu18[[#This Row],[1]:[6]],"="&amp;drk1wu18[[#This Row],[L]])=6),(COUNTIFS(drk1wu18[[#This Row],[1]:[6]],"="&amp;drk1wu18[[#This Row],[L]])&lt;2)),"OK","Fehler (zu wenig Streicher) [Gleiche Werte jeweils um 0,1 erhöhen]")</f>
        <v>OK</v>
      </c>
    </row>
    <row r="34" spans="1:15" ht="11.25" hidden="1" customHeight="1">
      <c r="A34" s="32"/>
      <c r="B34" s="20">
        <f>IF(drk1wu18[[#This Row],[Name]]="","",_xlfn.RANK.EQ(drk1wu18[[#This Row],[Result]],drk1wu18[Result],0))</f>
        <v>12</v>
      </c>
      <c r="C34" s="1" t="s">
        <v>92</v>
      </c>
      <c r="D34" s="1" t="s">
        <v>93</v>
      </c>
      <c r="E34" s="2" t="s">
        <v>94</v>
      </c>
      <c r="F34" s="20" t="s">
        <v>39</v>
      </c>
      <c r="G34" s="5">
        <v>1E-3</v>
      </c>
      <c r="H34" s="5">
        <v>2E-3</v>
      </c>
      <c r="I34" s="5">
        <v>3.0000000000000001E-3</v>
      </c>
      <c r="J34" s="5">
        <v>4.0000000000000001E-3</v>
      </c>
      <c r="K34" s="5">
        <v>5.0000000000000001E-3</v>
      </c>
      <c r="L34" s="5">
        <v>6.0000000000000001E-3</v>
      </c>
      <c r="M34" s="33">
        <f>SUMPRODUCT(drk1wu18[[#This Row],[1]:[6]]*(drk1wu18[[#This Row],[1]:[6]]&gt;=drk1wu18[[#This Row],[L]]))</f>
        <v>2.0000000000000004E-2</v>
      </c>
      <c r="N34" s="99">
        <f>IF(drk1wu18[[#This Row],[Name]]="",0,LARGE(drk1wu18[[#This Row],[1]:[6]],$D$2))</f>
        <v>2E-3</v>
      </c>
      <c r="O34" s="6" t="str">
        <f>IF(OR((COUNTIFS(drk1wu18[[#This Row],[1]:[6]],"="&amp;drk1wu18[[#This Row],[L]])=6),(COUNTIFS(drk1wu18[[#This Row],[1]:[6]],"="&amp;drk1wu18[[#This Row],[L]])&lt;2)),"OK","Fehler (zu wenig Streicher) [Gleiche Werte jeweils um 0,1 erhöhen]")</f>
        <v>OK</v>
      </c>
    </row>
    <row r="35" spans="1:15" ht="11.25" hidden="1" customHeight="1">
      <c r="A35" s="32"/>
      <c r="B35" s="20">
        <f>IF(drk1wu18[[#This Row],[Name]]="","",_xlfn.RANK.EQ(drk1wu18[[#This Row],[Result]],drk1wu18[Result],0))</f>
        <v>12</v>
      </c>
      <c r="C35" s="1" t="s">
        <v>92</v>
      </c>
      <c r="D35" s="1" t="s">
        <v>93</v>
      </c>
      <c r="E35" s="2" t="s">
        <v>94</v>
      </c>
      <c r="F35" s="20" t="s">
        <v>39</v>
      </c>
      <c r="G35" s="5">
        <v>1E-3</v>
      </c>
      <c r="H35" s="5">
        <v>2E-3</v>
      </c>
      <c r="I35" s="5">
        <v>3.0000000000000001E-3</v>
      </c>
      <c r="J35" s="5">
        <v>4.0000000000000001E-3</v>
      </c>
      <c r="K35" s="5">
        <v>5.0000000000000001E-3</v>
      </c>
      <c r="L35" s="5">
        <v>6.0000000000000001E-3</v>
      </c>
      <c r="M35" s="33">
        <f>SUMPRODUCT(drk1wu18[[#This Row],[1]:[6]]*(drk1wu18[[#This Row],[1]:[6]]&gt;=drk1wu18[[#This Row],[L]]))</f>
        <v>2.0000000000000004E-2</v>
      </c>
      <c r="N35" s="99">
        <f>IF(drk1wu18[[#This Row],[Name]]="",0,LARGE(drk1wu18[[#This Row],[1]:[6]],$D$2))</f>
        <v>2E-3</v>
      </c>
      <c r="O35" s="6" t="str">
        <f>IF(OR((COUNTIFS(drk1wu18[[#This Row],[1]:[6]],"="&amp;drk1wu18[[#This Row],[L]])=6),(COUNTIFS(drk1wu18[[#This Row],[1]:[6]],"="&amp;drk1wu18[[#This Row],[L]])&lt;2)),"OK","Fehler (zu wenig Streicher) [Gleiche Werte jeweils um 0,1 erhöhen]")</f>
        <v>OK</v>
      </c>
    </row>
    <row r="36" spans="1:15" ht="11.25" hidden="1" customHeight="1">
      <c r="A36" s="32"/>
      <c r="B36" s="20">
        <f>IF(drk1wu18[[#This Row],[Name]]="","",_xlfn.RANK.EQ(drk1wu18[[#This Row],[Result]],drk1wu18[Result],0))</f>
        <v>12</v>
      </c>
      <c r="C36" s="1" t="s">
        <v>92</v>
      </c>
      <c r="D36" s="1" t="s">
        <v>93</v>
      </c>
      <c r="E36" s="2" t="s">
        <v>94</v>
      </c>
      <c r="F36" s="20" t="s">
        <v>39</v>
      </c>
      <c r="G36" s="5">
        <v>1E-3</v>
      </c>
      <c r="H36" s="5">
        <v>2E-3</v>
      </c>
      <c r="I36" s="5">
        <v>3.0000000000000001E-3</v>
      </c>
      <c r="J36" s="5">
        <v>4.0000000000000001E-3</v>
      </c>
      <c r="K36" s="5">
        <v>5.0000000000000001E-3</v>
      </c>
      <c r="L36" s="5">
        <v>6.0000000000000001E-3</v>
      </c>
      <c r="M36" s="33">
        <f>SUMPRODUCT(drk1wu18[[#This Row],[1]:[6]]*(drk1wu18[[#This Row],[1]:[6]]&gt;=drk1wu18[[#This Row],[L]]))</f>
        <v>2.0000000000000004E-2</v>
      </c>
      <c r="N36" s="99">
        <f>IF(drk1wu18[[#This Row],[Name]]="",0,LARGE(drk1wu18[[#This Row],[1]:[6]],$D$2))</f>
        <v>2E-3</v>
      </c>
      <c r="O36" s="6" t="str">
        <f>IF(OR((COUNTIFS(drk1wu18[[#This Row],[1]:[6]],"="&amp;drk1wu18[[#This Row],[L]])=6),(COUNTIFS(drk1wu18[[#This Row],[1]:[6]],"="&amp;drk1wu18[[#This Row],[L]])&lt;2)),"OK","Fehler (zu wenig Streicher) [Gleiche Werte jeweils um 0,1 erhöhen]")</f>
        <v>OK</v>
      </c>
    </row>
    <row r="37" spans="1:15" ht="11.25" hidden="1" customHeight="1">
      <c r="A37" s="32"/>
      <c r="B37" s="20">
        <f>IF(drk1wu18[[#This Row],[Name]]="","",_xlfn.RANK.EQ(drk1wu18[[#This Row],[Result]],drk1wu18[Result],0))</f>
        <v>12</v>
      </c>
      <c r="C37" s="1" t="s">
        <v>92</v>
      </c>
      <c r="D37" s="1" t="s">
        <v>93</v>
      </c>
      <c r="E37" s="2" t="s">
        <v>94</v>
      </c>
      <c r="F37" s="20" t="s">
        <v>39</v>
      </c>
      <c r="G37" s="5">
        <v>1E-3</v>
      </c>
      <c r="H37" s="5">
        <v>2E-3</v>
      </c>
      <c r="I37" s="5">
        <v>3.0000000000000001E-3</v>
      </c>
      <c r="J37" s="5">
        <v>4.0000000000000001E-3</v>
      </c>
      <c r="K37" s="5">
        <v>5.0000000000000001E-3</v>
      </c>
      <c r="L37" s="5">
        <v>6.0000000000000001E-3</v>
      </c>
      <c r="M37" s="33">
        <f>SUMPRODUCT(drk1wu18[[#This Row],[1]:[6]]*(drk1wu18[[#This Row],[1]:[6]]&gt;=drk1wu18[[#This Row],[L]]))</f>
        <v>2.0000000000000004E-2</v>
      </c>
      <c r="N37" s="99">
        <f>IF(drk1wu18[[#This Row],[Name]]="",0,LARGE(drk1wu18[[#This Row],[1]:[6]],$D$2))</f>
        <v>2E-3</v>
      </c>
      <c r="O37" s="6" t="str">
        <f>IF(OR((COUNTIFS(drk1wu18[[#This Row],[1]:[6]],"="&amp;drk1wu18[[#This Row],[L]])=6),(COUNTIFS(drk1wu18[[#This Row],[1]:[6]],"="&amp;drk1wu18[[#This Row],[L]])&lt;2)),"OK","Fehler (zu wenig Streicher) [Gleiche Werte jeweils um 0,1 erhöhen]")</f>
        <v>OK</v>
      </c>
    </row>
    <row r="38" spans="1:15" ht="11.25" hidden="1" customHeight="1">
      <c r="A38" s="32"/>
      <c r="B38" s="20">
        <f>IF(drk1wu18[[#This Row],[Name]]="","",_xlfn.RANK.EQ(drk1wu18[[#This Row],[Result]],drk1wu18[Result],0))</f>
        <v>12</v>
      </c>
      <c r="C38" s="1" t="s">
        <v>92</v>
      </c>
      <c r="D38" s="1" t="s">
        <v>93</v>
      </c>
      <c r="E38" s="2" t="s">
        <v>94</v>
      </c>
      <c r="F38" s="20" t="s">
        <v>39</v>
      </c>
      <c r="G38" s="5">
        <v>1E-3</v>
      </c>
      <c r="H38" s="5">
        <v>2E-3</v>
      </c>
      <c r="I38" s="5">
        <v>3.0000000000000001E-3</v>
      </c>
      <c r="J38" s="5">
        <v>4.0000000000000001E-3</v>
      </c>
      <c r="K38" s="5">
        <v>5.0000000000000001E-3</v>
      </c>
      <c r="L38" s="5">
        <v>6.0000000000000001E-3</v>
      </c>
      <c r="M38" s="33">
        <f>SUMPRODUCT(drk1wu18[[#This Row],[1]:[6]]*(drk1wu18[[#This Row],[1]:[6]]&gt;=drk1wu18[[#This Row],[L]]))</f>
        <v>2.0000000000000004E-2</v>
      </c>
      <c r="N38" s="99">
        <f>IF(drk1wu18[[#This Row],[Name]]="",0,LARGE(drk1wu18[[#This Row],[1]:[6]],$D$2))</f>
        <v>2E-3</v>
      </c>
      <c r="O38" s="6" t="str">
        <f>IF(OR((COUNTIFS(drk1wu18[[#This Row],[1]:[6]],"="&amp;drk1wu18[[#This Row],[L]])=6),(COUNTIFS(drk1wu18[[#This Row],[1]:[6]],"="&amp;drk1wu18[[#This Row],[L]])&lt;2)),"OK","Fehler (zu wenig Streicher) [Gleiche Werte jeweils um 0,1 erhöhen]")</f>
        <v>OK</v>
      </c>
    </row>
    <row r="39" spans="1:15" ht="11.25" hidden="1" customHeight="1">
      <c r="A39" s="32"/>
      <c r="B39" s="20" t="str">
        <f>IF(drk1wu18[[#This Row],[Name]]="","",_xlfn.RANK.EQ(drk1wu18[[#This Row],[Result]],drk1wu18[Result],0))</f>
        <v/>
      </c>
      <c r="E39" s="2"/>
      <c r="F39" s="20"/>
      <c r="G39" s="5">
        <v>1E-3</v>
      </c>
      <c r="H39" s="5">
        <v>2E-3</v>
      </c>
      <c r="I39" s="5">
        <v>3.0000000000000001E-3</v>
      </c>
      <c r="J39" s="5">
        <v>4.0000000000000001E-3</v>
      </c>
      <c r="K39" s="5">
        <v>5.0000000000000001E-3</v>
      </c>
      <c r="L39" s="5">
        <v>6.0000000000000001E-3</v>
      </c>
      <c r="M39" s="33">
        <f>SUMPRODUCT(drk1wu18[[#This Row],[1]:[6]]*(drk1wu18[[#This Row],[1]:[6]]&gt;=drk1wu18[[#This Row],[L]]))</f>
        <v>2.0999999999999998E-2</v>
      </c>
      <c r="N39" s="99">
        <f>IF(drk1wu18[[#This Row],[Name]]="",0,LARGE(drk1wu18[[#This Row],[1]:[6]],$D$2))</f>
        <v>0</v>
      </c>
      <c r="O39" s="6" t="str">
        <f>IF(OR((COUNTIFS(drk1wu18[[#This Row],[1]:[6]],"="&amp;drk1wu18[[#This Row],[L]])=6),(COUNTIFS(drk1wu18[[#This Row],[1]:[6]],"="&amp;drk1wu18[[#This Row],[L]])&lt;2)),"OK","Fehler (zu wenig Streicher) [Gleiche Werte jeweils um 0,1 erhöhen]")</f>
        <v>OK</v>
      </c>
    </row>
    <row r="40" spans="1:15" ht="11.25" hidden="1" customHeight="1">
      <c r="A40" s="32"/>
      <c r="B40" s="20" t="str">
        <f>IF(drk1wu18[[#This Row],[Name]]="","",_xlfn.RANK.EQ(drk1wu18[[#This Row],[Result]],drk1wu18[Result],0))</f>
        <v/>
      </c>
      <c r="E40" s="2"/>
      <c r="F40" s="20"/>
      <c r="G40" s="5">
        <v>1E-3</v>
      </c>
      <c r="H40" s="5">
        <v>2E-3</v>
      </c>
      <c r="I40" s="5">
        <v>3.0000000000000001E-3</v>
      </c>
      <c r="J40" s="5">
        <v>4.0000000000000001E-3</v>
      </c>
      <c r="K40" s="5">
        <v>5.0000000000000001E-3</v>
      </c>
      <c r="L40" s="5">
        <v>6.0000000000000001E-3</v>
      </c>
      <c r="M40" s="33">
        <f>SUMPRODUCT(drk1wu18[[#This Row],[1]:[6]]*(drk1wu18[[#This Row],[1]:[6]]&gt;=drk1wu18[[#This Row],[L]]))</f>
        <v>2.0999999999999998E-2</v>
      </c>
      <c r="N40" s="99">
        <f>IF(drk1wu18[[#This Row],[Name]]="",0,LARGE(drk1wu18[[#This Row],[1]:[6]],$D$2))</f>
        <v>0</v>
      </c>
      <c r="O40" s="6" t="str">
        <f>IF(OR((COUNTIFS(drk1wu18[[#This Row],[1]:[6]],"="&amp;drk1wu18[[#This Row],[L]])=6),(COUNTIFS(drk1wu18[[#This Row],[1]:[6]],"="&amp;drk1wu18[[#This Row],[L]])&lt;2)),"OK","Fehler (zu wenig Streicher) [Gleiche Werte jeweils um 0,1 erhöhen]")</f>
        <v>OK</v>
      </c>
    </row>
    <row r="41" spans="1:15" ht="11.25" hidden="1" customHeight="1">
      <c r="A41" s="32"/>
      <c r="B41" s="20" t="str">
        <f>IF(drk1wu18[[#This Row],[Name]]="","",_xlfn.RANK.EQ(drk1wu18[[#This Row],[Result]],drk1wu18[Result],0))</f>
        <v/>
      </c>
      <c r="E41" s="2"/>
      <c r="F41" s="20"/>
      <c r="G41" s="5">
        <v>1E-3</v>
      </c>
      <c r="H41" s="5">
        <v>2E-3</v>
      </c>
      <c r="I41" s="5">
        <v>3.0000000000000001E-3</v>
      </c>
      <c r="J41" s="5">
        <v>4.0000000000000001E-3</v>
      </c>
      <c r="K41" s="5">
        <v>5.0000000000000001E-3</v>
      </c>
      <c r="L41" s="5">
        <v>6.0000000000000001E-3</v>
      </c>
      <c r="M41" s="33">
        <f>SUMPRODUCT(drk1wu18[[#This Row],[1]:[6]]*(drk1wu18[[#This Row],[1]:[6]]&gt;=drk1wu18[[#This Row],[L]]))</f>
        <v>2.0999999999999998E-2</v>
      </c>
      <c r="N41" s="99">
        <f>IF(drk1wu18[[#This Row],[Name]]="",0,LARGE(drk1wu18[[#This Row],[1]:[6]],$D$2))</f>
        <v>0</v>
      </c>
      <c r="O41" s="6" t="str">
        <f>IF(OR((COUNTIFS(drk1wu18[[#This Row],[1]:[6]],"="&amp;drk1wu18[[#This Row],[L]])=6),(COUNTIFS(drk1wu18[[#This Row],[1]:[6]],"="&amp;drk1wu18[[#This Row],[L]])&lt;2)),"OK","Fehler (zu wenig Streicher) [Gleiche Werte jeweils um 0,1 erhöhen]")</f>
        <v>OK</v>
      </c>
    </row>
    <row r="42" spans="1:15" ht="11.25" hidden="1" customHeight="1">
      <c r="A42" s="32"/>
      <c r="B42" s="20" t="str">
        <f>IF(drk1wu18[[#This Row],[Name]]="","",_xlfn.RANK.EQ(drk1wu18[[#This Row],[Result]],drk1wu18[Result],0))</f>
        <v/>
      </c>
      <c r="E42" s="2"/>
      <c r="F42" s="20"/>
      <c r="G42" s="5">
        <v>1E-3</v>
      </c>
      <c r="H42" s="5">
        <v>2E-3</v>
      </c>
      <c r="I42" s="5">
        <v>3.0000000000000001E-3</v>
      </c>
      <c r="J42" s="5">
        <v>4.0000000000000001E-3</v>
      </c>
      <c r="K42" s="5">
        <v>5.0000000000000001E-3</v>
      </c>
      <c r="L42" s="5">
        <v>6.0000000000000001E-3</v>
      </c>
      <c r="M42" s="33">
        <f>SUMPRODUCT(drk1wu18[[#This Row],[1]:[6]]*(drk1wu18[[#This Row],[1]:[6]]&gt;=drk1wu18[[#This Row],[L]]))</f>
        <v>2.0999999999999998E-2</v>
      </c>
      <c r="N42" s="99">
        <f>IF(drk1wu18[[#This Row],[Name]]="",0,LARGE(drk1wu18[[#This Row],[1]:[6]],$D$2))</f>
        <v>0</v>
      </c>
      <c r="O42" s="6" t="str">
        <f>IF(OR((COUNTIFS(drk1wu18[[#This Row],[1]:[6]],"="&amp;drk1wu18[[#This Row],[L]])=6),(COUNTIFS(drk1wu18[[#This Row],[1]:[6]],"="&amp;drk1wu18[[#This Row],[L]])&lt;2)),"OK","Fehler (zu wenig Streicher) [Gleiche Werte jeweils um 0,1 erhöhen]")</f>
        <v>OK</v>
      </c>
    </row>
    <row r="43" spans="1:15" ht="11.25" hidden="1" customHeight="1">
      <c r="A43" s="32"/>
      <c r="B43" s="20" t="str">
        <f>IF(drk1wu18[[#This Row],[Name]]="","",_xlfn.RANK.EQ(drk1wu18[[#This Row],[Result]],drk1wu18[Result],0))</f>
        <v/>
      </c>
      <c r="C43"/>
      <c r="D43"/>
      <c r="E43" s="7"/>
      <c r="F43" s="20"/>
      <c r="G43" s="5">
        <v>1E-3</v>
      </c>
      <c r="H43" s="5">
        <v>2E-3</v>
      </c>
      <c r="I43" s="5">
        <v>3.0000000000000001E-3</v>
      </c>
      <c r="J43" s="5">
        <v>4.0000000000000001E-3</v>
      </c>
      <c r="K43" s="5">
        <v>5.0000000000000001E-3</v>
      </c>
      <c r="L43" s="5">
        <v>6.0000000000000001E-3</v>
      </c>
      <c r="M43" s="33">
        <f>SUMPRODUCT(drk1wu18[[#This Row],[1]:[6]]*(drk1wu18[[#This Row],[1]:[6]]&gt;=drk1wu18[[#This Row],[L]]))</f>
        <v>2.0999999999999998E-2</v>
      </c>
      <c r="N43" s="99">
        <f>IF(drk1wu18[[#This Row],[Name]]="",0,LARGE(drk1wu18[[#This Row],[1]:[6]],$D$2))</f>
        <v>0</v>
      </c>
      <c r="O43" s="6" t="str">
        <f>IF(OR((COUNTIFS(drk1wu18[[#This Row],[1]:[6]],"="&amp;drk1wu18[[#This Row],[L]])=6),(COUNTIFS(drk1wu18[[#This Row],[1]:[6]],"="&amp;drk1wu18[[#This Row],[L]])&lt;2)),"OK","Fehler (zu wenig Streicher) [Gleiche Werte jeweils um 0,1 erhöhen]")</f>
        <v>OK</v>
      </c>
    </row>
    <row r="44" spans="1:15" ht="11.25" hidden="1" customHeight="1">
      <c r="A44" s="32"/>
      <c r="B44" s="20" t="str">
        <f>IF(drk1wu18[[#This Row],[Name]]="","",_xlfn.RANK.EQ(drk1wu18[[#This Row],[Result]],drk1wu18[Result],0))</f>
        <v/>
      </c>
      <c r="C44"/>
      <c r="D44"/>
      <c r="E44" s="7"/>
      <c r="F44" s="20"/>
      <c r="G44" s="5">
        <v>1E-3</v>
      </c>
      <c r="H44" s="5">
        <v>2E-3</v>
      </c>
      <c r="I44" s="5">
        <v>3.0000000000000001E-3</v>
      </c>
      <c r="J44" s="5">
        <v>4.0000000000000001E-3</v>
      </c>
      <c r="K44" s="5">
        <v>5.0000000000000001E-3</v>
      </c>
      <c r="L44" s="5">
        <v>6.0000000000000001E-3</v>
      </c>
      <c r="M44" s="33">
        <f>SUMPRODUCT(drk1wu18[[#This Row],[1]:[6]]*(drk1wu18[[#This Row],[1]:[6]]&gt;=drk1wu18[[#This Row],[L]]))</f>
        <v>2.0999999999999998E-2</v>
      </c>
      <c r="N44" s="99">
        <f>IF(drk1wu18[[#This Row],[Name]]="",0,LARGE(drk1wu18[[#This Row],[1]:[6]],$D$2))</f>
        <v>0</v>
      </c>
      <c r="O44" s="6" t="str">
        <f>IF(OR((COUNTIFS(drk1wu18[[#This Row],[1]:[6]],"="&amp;drk1wu18[[#This Row],[L]])=6),(COUNTIFS(drk1wu18[[#This Row],[1]:[6]],"="&amp;drk1wu18[[#This Row],[L]])&lt;2)),"OK","Fehler (zu wenig Streicher) [Gleiche Werte jeweils um 0,1 erhöhen]")</f>
        <v>OK</v>
      </c>
    </row>
    <row r="45" spans="1:15" ht="11.25" hidden="1" customHeight="1">
      <c r="A45" s="32"/>
      <c r="B45" s="20" t="str">
        <f>IF(drk1wu18[[#This Row],[Name]]="","",_xlfn.RANK.EQ(drk1wu18[[#This Row],[Result]],drk1wu18[Result],0))</f>
        <v/>
      </c>
      <c r="C45"/>
      <c r="D45"/>
      <c r="E45" s="7"/>
      <c r="F45" s="20"/>
      <c r="G45" s="5">
        <v>1E-3</v>
      </c>
      <c r="H45" s="5">
        <v>2E-3</v>
      </c>
      <c r="I45" s="5">
        <v>3.0000000000000001E-3</v>
      </c>
      <c r="J45" s="5">
        <v>4.0000000000000001E-3</v>
      </c>
      <c r="K45" s="5">
        <v>5.0000000000000001E-3</v>
      </c>
      <c r="L45" s="5">
        <v>6.0000000000000001E-3</v>
      </c>
      <c r="M45" s="33">
        <f>SUMPRODUCT(drk1wu18[[#This Row],[1]:[6]]*(drk1wu18[[#This Row],[1]:[6]]&gt;=drk1wu18[[#This Row],[L]]))</f>
        <v>2.0999999999999998E-2</v>
      </c>
      <c r="N45" s="99">
        <f>IF(drk1wu18[[#This Row],[Name]]="",0,LARGE(drk1wu18[[#This Row],[1]:[6]],$D$2))</f>
        <v>0</v>
      </c>
      <c r="O45" s="6" t="str">
        <f>IF(OR((COUNTIFS(drk1wu18[[#This Row],[1]:[6]],"="&amp;drk1wu18[[#This Row],[L]])=6),(COUNTIFS(drk1wu18[[#This Row],[1]:[6]],"="&amp;drk1wu18[[#This Row],[L]])&lt;2)),"OK","Fehler (zu wenig Streicher) [Gleiche Werte jeweils um 0,1 erhöhen]")</f>
        <v>OK</v>
      </c>
    </row>
    <row r="46" spans="1:15" ht="11.25" hidden="1" customHeight="1">
      <c r="A46" s="32"/>
      <c r="B46" s="20" t="str">
        <f>IF(drk1wu18[[#This Row],[Name]]="","",_xlfn.RANK.EQ(drk1wu18[[#This Row],[Result]],drk1wu18[Result],0))</f>
        <v/>
      </c>
      <c r="E46" s="2"/>
      <c r="F46" s="20"/>
      <c r="G46" s="5">
        <v>1E-3</v>
      </c>
      <c r="H46" s="5">
        <v>2E-3</v>
      </c>
      <c r="I46" s="5">
        <v>3.0000000000000001E-3</v>
      </c>
      <c r="J46" s="5">
        <v>4.0000000000000001E-3</v>
      </c>
      <c r="K46" s="5">
        <v>5.0000000000000001E-3</v>
      </c>
      <c r="L46" s="5">
        <v>6.0000000000000001E-3</v>
      </c>
      <c r="M46" s="33">
        <f>SUMPRODUCT(drk1wu18[[#This Row],[1]:[6]]*(drk1wu18[[#This Row],[1]:[6]]&gt;=drk1wu18[[#This Row],[L]]))</f>
        <v>2.0999999999999998E-2</v>
      </c>
      <c r="N46" s="99">
        <f>IF(drk1wu18[[#This Row],[Name]]="",0,LARGE(drk1wu18[[#This Row],[1]:[6]],$D$2))</f>
        <v>0</v>
      </c>
      <c r="O46" s="6" t="str">
        <f>IF(OR((COUNTIFS(drk1wu18[[#This Row],[1]:[6]],"="&amp;drk1wu18[[#This Row],[L]])=6),(COUNTIFS(drk1wu18[[#This Row],[1]:[6]],"="&amp;drk1wu18[[#This Row],[L]])&lt;2)),"OK","Fehler (zu wenig Streicher) [Gleiche Werte jeweils um 0,1 erhöhen]")</f>
        <v>OK</v>
      </c>
    </row>
    <row r="47" spans="1:15" ht="11.25" hidden="1" customHeight="1">
      <c r="A47" s="32"/>
      <c r="B47" s="20" t="str">
        <f>IF(drk1wu18[[#This Row],[Name]]="","",_xlfn.RANK.EQ(drk1wu18[[#This Row],[Result]],drk1wu18[Result],0))</f>
        <v/>
      </c>
      <c r="E47" s="2"/>
      <c r="F47" s="20"/>
      <c r="G47" s="5">
        <v>1E-3</v>
      </c>
      <c r="H47" s="5">
        <v>2E-3</v>
      </c>
      <c r="I47" s="5">
        <v>3.0000000000000001E-3</v>
      </c>
      <c r="J47" s="5">
        <v>4.0000000000000001E-3</v>
      </c>
      <c r="K47" s="5">
        <v>5.0000000000000001E-3</v>
      </c>
      <c r="L47" s="5">
        <v>6.0000000000000001E-3</v>
      </c>
      <c r="M47" s="33">
        <f>SUMPRODUCT(drk1wu18[[#This Row],[1]:[6]]*(drk1wu18[[#This Row],[1]:[6]]&gt;=drk1wu18[[#This Row],[L]]))</f>
        <v>2.0999999999999998E-2</v>
      </c>
      <c r="N47" s="99">
        <f>IF(drk1wu18[[#This Row],[Name]]="",0,LARGE(drk1wu18[[#This Row],[1]:[6]],$D$2))</f>
        <v>0</v>
      </c>
      <c r="O47" s="6" t="str">
        <f>IF(OR((COUNTIFS(drk1wu18[[#This Row],[1]:[6]],"="&amp;drk1wu18[[#This Row],[L]])=6),(COUNTIFS(drk1wu18[[#This Row],[1]:[6]],"="&amp;drk1wu18[[#This Row],[L]])&lt;2)),"OK","Fehler (zu wenig Streicher) [Gleiche Werte jeweils um 0,1 erhöhen]")</f>
        <v>OK</v>
      </c>
    </row>
    <row r="48" spans="1:15" ht="11.25" hidden="1" customHeight="1" thickBot="1">
      <c r="A48" s="34"/>
      <c r="B48" s="35" t="str">
        <f>IF(drk1wu18[[#This Row],[Name]]="","",_xlfn.RANK.EQ(drk1wu18[[#This Row],[Result]],drk1wu18[Result],0))</f>
        <v/>
      </c>
      <c r="C48" s="51"/>
      <c r="D48" s="51"/>
      <c r="E48" s="52"/>
      <c r="F48" s="35"/>
      <c r="G48" s="36">
        <v>1E-3</v>
      </c>
      <c r="H48" s="36">
        <v>2E-3</v>
      </c>
      <c r="I48" s="36">
        <v>3.0000000000000001E-3</v>
      </c>
      <c r="J48" s="36">
        <v>4.0000000000000001E-3</v>
      </c>
      <c r="K48" s="36">
        <v>5.0000000000000001E-3</v>
      </c>
      <c r="L48" s="36">
        <v>6.0000000000000001E-3</v>
      </c>
      <c r="M48" s="37">
        <f>SUMPRODUCT(drk1wu18[[#This Row],[1]:[6]]*(drk1wu18[[#This Row],[1]:[6]]&gt;=drk1wu18[[#This Row],[L]]))</f>
        <v>2.0999999999999998E-2</v>
      </c>
      <c r="N48" s="87">
        <f>IF(drk1wu18[[#This Row],[Name]]="",0,LARGE(drk1wu18[[#This Row],[1]:[6]],$D$2))</f>
        <v>0</v>
      </c>
      <c r="O48" s="6" t="str">
        <f>IF(OR((COUNTIFS(drk1wu18[[#This Row],[1]:[6]],"="&amp;drk1wu18[[#This Row],[L]])=6),(COUNTIFS(drk1wu18[[#This Row],[1]:[6]],"="&amp;drk1wu18[[#This Row],[L]])&lt;2)),"OK","Fehler (zu wenig Streicher) [Gleiche Werte jeweils um 0,1 erhöhen]")</f>
        <v>OK</v>
      </c>
    </row>
  </sheetData>
  <mergeCells count="9">
    <mergeCell ref="A29:F29"/>
    <mergeCell ref="N28:N29"/>
    <mergeCell ref="N5:N6"/>
    <mergeCell ref="V1:X1"/>
    <mergeCell ref="A6:F6"/>
    <mergeCell ref="A2:C5"/>
    <mergeCell ref="D2:F5"/>
    <mergeCell ref="D1:M1"/>
    <mergeCell ref="A1:C1"/>
  </mergeCells>
  <phoneticPr fontId="11" type="noConversion"/>
  <conditionalFormatting sqref="G31:N48">
    <cfRule type="expression" dxfId="97" priority="9">
      <formula>G31&lt;1</formula>
    </cfRule>
  </conditionalFormatting>
  <conditionalFormatting sqref="G8:L25">
    <cfRule type="expression" dxfId="96" priority="5">
      <formula>G8&lt;$N8</formula>
    </cfRule>
  </conditionalFormatting>
  <conditionalFormatting sqref="G8:N25">
    <cfRule type="expression" dxfId="95" priority="3">
      <formula>G8&lt;1</formula>
    </cfRule>
  </conditionalFormatting>
  <conditionalFormatting sqref="G8:M25">
    <cfRule type="expression" dxfId="94" priority="4">
      <formula>G8&gt;=$N8</formula>
    </cfRule>
  </conditionalFormatting>
  <conditionalFormatting sqref="G31:M47">
    <cfRule type="expression" dxfId="93" priority="45">
      <formula>G31&gt;=$N31</formula>
    </cfRule>
  </conditionalFormatting>
  <conditionalFormatting sqref="G31:L48">
    <cfRule type="expression" dxfId="92" priority="46">
      <formula>G31&lt;$N31</formula>
    </cfRule>
  </conditionalFormatting>
  <pageMargins left="0.70866141732283472" right="0.70866141732283472" top="0.78740157480314965" bottom="0.78740157480314965" header="0.31496062992125984" footer="0.31496062992125984"/>
  <pageSetup paperSize="9" scale="68" fitToHeight="3" orientation="portrait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7788-5ADF-4B5F-AA63-3295179C262A}">
  <sheetPr codeName="Tabelle9"/>
  <dimension ref="A1:AK68"/>
  <sheetViews>
    <sheetView topLeftCell="A4" zoomScaleNormal="100" workbookViewId="0">
      <selection activeCell="S66" sqref="S66"/>
    </sheetView>
  </sheetViews>
  <sheetFormatPr defaultColWidth="11.42578125" defaultRowHeight="11.25"/>
  <cols>
    <col min="1" max="2" width="5.7109375" style="2" customWidth="1"/>
    <col min="3" max="4" width="15.7109375" style="1" customWidth="1"/>
    <col min="5" max="5" width="15.7109375" style="20" customWidth="1"/>
    <col min="6" max="6" width="4.7109375" style="2" customWidth="1"/>
    <col min="7" max="11" width="3.85546875" style="2" customWidth="1"/>
    <col min="12" max="23" width="3.85546875" style="1" customWidth="1"/>
    <col min="24" max="24" width="7.7109375" style="1" customWidth="1"/>
    <col min="25" max="25" width="3.85546875" style="1" customWidth="1"/>
    <col min="26" max="26" width="5.7109375" style="1" customWidth="1"/>
    <col min="27" max="35" width="3.28515625" style="1" customWidth="1"/>
    <col min="36" max="36" width="6.42578125" style="4" customWidth="1"/>
    <col min="37" max="37" width="3.28515625" style="4" customWidth="1"/>
    <col min="38" max="16384" width="11.42578125" style="1"/>
  </cols>
  <sheetData>
    <row r="1" spans="1:37" ht="60" customHeight="1" thickBot="1">
      <c r="A1" s="189" t="s">
        <v>64</v>
      </c>
      <c r="B1" s="190"/>
      <c r="C1" s="190"/>
      <c r="D1" s="266" t="s">
        <v>140</v>
      </c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7"/>
      <c r="Y1" s="94"/>
      <c r="Z1" s="59"/>
      <c r="AA1" s="59"/>
      <c r="AB1" s="59"/>
      <c r="AC1" s="59"/>
      <c r="AD1" s="59"/>
      <c r="AE1" s="191"/>
      <c r="AF1" s="191"/>
      <c r="AG1" s="191"/>
      <c r="AH1" s="191"/>
      <c r="AI1" s="191"/>
    </row>
    <row r="2" spans="1:37" s="3" customFormat="1" ht="30" customHeight="1">
      <c r="A2" s="219" t="s">
        <v>111</v>
      </c>
      <c r="B2" s="220"/>
      <c r="C2" s="220"/>
      <c r="D2" s="196">
        <v>12</v>
      </c>
      <c r="E2" s="196"/>
      <c r="F2" s="197"/>
      <c r="G2" s="249" t="s">
        <v>95</v>
      </c>
      <c r="H2" s="250"/>
      <c r="I2" s="265" t="s">
        <v>3</v>
      </c>
      <c r="J2" s="249"/>
      <c r="K2" s="249"/>
      <c r="L2" s="249"/>
      <c r="M2" s="250"/>
      <c r="N2" s="204" t="s">
        <v>3</v>
      </c>
      <c r="O2" s="205"/>
      <c r="P2" s="259" t="s">
        <v>3</v>
      </c>
      <c r="Q2" s="260"/>
      <c r="R2" s="256" t="s">
        <v>141</v>
      </c>
      <c r="S2" s="257"/>
      <c r="T2" s="257"/>
      <c r="U2" s="258"/>
      <c r="V2" s="253" t="s">
        <v>3</v>
      </c>
      <c r="W2" s="246"/>
      <c r="X2" s="38"/>
      <c r="Y2" s="85"/>
    </row>
    <row r="3" spans="1:37" s="3" customFormat="1" ht="75" customHeight="1">
      <c r="A3" s="221"/>
      <c r="B3" s="222"/>
      <c r="C3" s="222"/>
      <c r="D3" s="198"/>
      <c r="E3" s="198"/>
      <c r="F3" s="199"/>
      <c r="G3" s="251" t="s">
        <v>142</v>
      </c>
      <c r="H3" s="252"/>
      <c r="I3" s="268" t="s">
        <v>143</v>
      </c>
      <c r="J3" s="269"/>
      <c r="K3" s="269"/>
      <c r="L3" s="269"/>
      <c r="M3" s="161" t="s">
        <v>144</v>
      </c>
      <c r="N3" s="231"/>
      <c r="O3" s="232"/>
      <c r="P3" s="233" t="s">
        <v>145</v>
      </c>
      <c r="Q3" s="234"/>
      <c r="R3" s="50"/>
      <c r="S3" s="261" t="s">
        <v>146</v>
      </c>
      <c r="T3" s="261"/>
      <c r="U3" s="44"/>
      <c r="V3" s="233" t="s">
        <v>147</v>
      </c>
      <c r="W3" s="234"/>
      <c r="X3" s="39"/>
      <c r="Y3" s="85"/>
    </row>
    <row r="4" spans="1:37" s="3" customFormat="1" ht="39.950000000000003" customHeight="1">
      <c r="A4" s="221"/>
      <c r="B4" s="222"/>
      <c r="C4" s="222"/>
      <c r="D4" s="198"/>
      <c r="E4" s="198"/>
      <c r="F4" s="199"/>
      <c r="G4" s="270" t="s">
        <v>148</v>
      </c>
      <c r="H4" s="271"/>
      <c r="I4" s="262" t="s">
        <v>149</v>
      </c>
      <c r="J4" s="263"/>
      <c r="K4" s="263"/>
      <c r="L4" s="263"/>
      <c r="M4" s="264"/>
      <c r="N4" s="184" t="s">
        <v>48</v>
      </c>
      <c r="O4" s="185"/>
      <c r="P4" s="254" t="s">
        <v>150</v>
      </c>
      <c r="Q4" s="255"/>
      <c r="R4" s="272" t="s">
        <v>151</v>
      </c>
      <c r="S4" s="273"/>
      <c r="T4" s="273" t="s">
        <v>152</v>
      </c>
      <c r="U4" s="276"/>
      <c r="V4" s="274" t="s">
        <v>97</v>
      </c>
      <c r="W4" s="275"/>
      <c r="X4" s="39"/>
      <c r="Y4" s="85"/>
    </row>
    <row r="5" spans="1:37" s="3" customFormat="1" ht="90" customHeight="1">
      <c r="A5" s="221"/>
      <c r="B5" s="222"/>
      <c r="C5" s="222"/>
      <c r="D5" s="198"/>
      <c r="E5" s="198"/>
      <c r="F5" s="199"/>
      <c r="G5" s="135" t="s">
        <v>153</v>
      </c>
      <c r="H5" s="136" t="s">
        <v>154</v>
      </c>
      <c r="I5" s="134" t="s">
        <v>155</v>
      </c>
      <c r="J5" s="134" t="s">
        <v>156</v>
      </c>
      <c r="K5" s="133" t="s">
        <v>157</v>
      </c>
      <c r="L5" s="134" t="s">
        <v>158</v>
      </c>
      <c r="M5" s="162" t="s">
        <v>159</v>
      </c>
      <c r="N5" s="113" t="s">
        <v>66</v>
      </c>
      <c r="O5" s="114" t="s">
        <v>67</v>
      </c>
      <c r="P5" s="78" t="s">
        <v>15</v>
      </c>
      <c r="Q5" s="78" t="s">
        <v>16</v>
      </c>
      <c r="R5" s="137" t="s">
        <v>160</v>
      </c>
      <c r="S5" s="138" t="s">
        <v>161</v>
      </c>
      <c r="T5" s="137" t="s">
        <v>162</v>
      </c>
      <c r="U5" s="141" t="s">
        <v>163</v>
      </c>
      <c r="V5" s="139" t="s">
        <v>100</v>
      </c>
      <c r="W5" s="140" t="s">
        <v>101</v>
      </c>
      <c r="X5" s="39"/>
      <c r="Y5" s="186" t="s">
        <v>17</v>
      </c>
      <c r="Z5" s="89"/>
    </row>
    <row r="6" spans="1:37" s="3" customFormat="1" ht="24.95" customHeight="1" thickBot="1">
      <c r="A6" s="176" t="s">
        <v>18</v>
      </c>
      <c r="B6" s="177"/>
      <c r="C6" s="177"/>
      <c r="D6" s="177"/>
      <c r="E6" s="177"/>
      <c r="F6" s="214"/>
      <c r="G6" s="8"/>
      <c r="H6" s="9"/>
      <c r="I6" s="8"/>
      <c r="J6" s="8"/>
      <c r="K6" s="79"/>
      <c r="L6" s="8"/>
      <c r="M6" s="163"/>
      <c r="N6" s="45"/>
      <c r="O6" s="10"/>
      <c r="P6" s="12"/>
      <c r="Q6" s="12"/>
      <c r="R6" s="14"/>
      <c r="S6" s="13"/>
      <c r="T6" s="14"/>
      <c r="U6" s="15"/>
      <c r="V6" s="21"/>
      <c r="W6" s="11"/>
      <c r="X6" s="93"/>
      <c r="Y6" s="186"/>
      <c r="Z6" s="89"/>
    </row>
    <row r="7" spans="1:37" s="4" customFormat="1" ht="11.25" customHeight="1">
      <c r="A7" s="40" t="s">
        <v>19</v>
      </c>
      <c r="B7" s="41" t="s">
        <v>20</v>
      </c>
      <c r="C7" s="41" t="s">
        <v>21</v>
      </c>
      <c r="D7" s="41" t="s">
        <v>22</v>
      </c>
      <c r="E7" s="41" t="s">
        <v>23</v>
      </c>
      <c r="F7" s="41" t="s">
        <v>24</v>
      </c>
      <c r="G7" s="41" t="s">
        <v>25</v>
      </c>
      <c r="H7" s="41" t="s">
        <v>26</v>
      </c>
      <c r="I7" s="41" t="s">
        <v>27</v>
      </c>
      <c r="J7" s="41" t="s">
        <v>28</v>
      </c>
      <c r="K7" s="41" t="s">
        <v>29</v>
      </c>
      <c r="L7" s="41" t="s">
        <v>30</v>
      </c>
      <c r="M7" s="41" t="s">
        <v>31</v>
      </c>
      <c r="N7" s="41" t="s">
        <v>32</v>
      </c>
      <c r="O7" s="41" t="s">
        <v>102</v>
      </c>
      <c r="P7" s="41" t="s">
        <v>103</v>
      </c>
      <c r="Q7" s="41" t="s">
        <v>104</v>
      </c>
      <c r="R7" s="41" t="s">
        <v>105</v>
      </c>
      <c r="S7" s="41" t="s">
        <v>164</v>
      </c>
      <c r="T7" s="41" t="s">
        <v>165</v>
      </c>
      <c r="U7" s="41" t="s">
        <v>166</v>
      </c>
      <c r="V7" s="41" t="s">
        <v>167</v>
      </c>
      <c r="W7" s="41" t="s">
        <v>168</v>
      </c>
      <c r="X7" s="43" t="s">
        <v>33</v>
      </c>
      <c r="Y7" s="83" t="s">
        <v>34</v>
      </c>
      <c r="Z7" s="17" t="s">
        <v>35</v>
      </c>
    </row>
    <row r="8" spans="1:37" ht="11.25" customHeight="1">
      <c r="A8" s="142"/>
      <c r="B8" s="20">
        <f>IF(slk1mu18[[#This Row],[Name]]="","",_xlfn.RANK.EQ(slk1mu18[[#This Row],[Result]],_xlnm.Criteria,0))</f>
        <v>1</v>
      </c>
      <c r="C8" s="1" t="s">
        <v>138</v>
      </c>
      <c r="D8" s="1" t="s">
        <v>42</v>
      </c>
      <c r="E8" s="2" t="s">
        <v>62</v>
      </c>
      <c r="F8" s="20" t="s">
        <v>39</v>
      </c>
      <c r="G8" s="5">
        <v>25</v>
      </c>
      <c r="H8" s="5">
        <v>20</v>
      </c>
      <c r="I8" s="5">
        <v>15</v>
      </c>
      <c r="J8" s="5">
        <v>20</v>
      </c>
      <c r="K8" s="5">
        <v>25</v>
      </c>
      <c r="L8" s="5">
        <v>20</v>
      </c>
      <c r="M8" s="5">
        <v>20</v>
      </c>
      <c r="N8" s="5">
        <v>25</v>
      </c>
      <c r="O8" s="5">
        <v>25</v>
      </c>
      <c r="P8" s="5">
        <v>25</v>
      </c>
      <c r="Q8" s="5">
        <v>1.0999999999999999E-2</v>
      </c>
      <c r="R8" s="5">
        <v>1.2E-2</v>
      </c>
      <c r="S8" s="5">
        <v>1.2999999999999999E-2</v>
      </c>
      <c r="T8" s="5">
        <v>1.4E-2</v>
      </c>
      <c r="U8" s="5">
        <v>1.4999999999999999E-2</v>
      </c>
      <c r="V8" s="5">
        <v>8</v>
      </c>
      <c r="W8" s="5">
        <v>15</v>
      </c>
      <c r="X8" s="33">
        <f>SUMPRODUCT(slk1mu18[[#This Row],[1]:[17]]*(slk1mu18[[#This Row],[1]:[17]]&gt;=slk1mu18[[#This Row],[L]]))</f>
        <v>243</v>
      </c>
      <c r="Y8" s="98">
        <f>IF(slk1mu18[[#This Row],[Name]]="",0,LARGE(slk1mu18[[#This Row],[1]:[17]],$D$2))</f>
        <v>8</v>
      </c>
      <c r="Z8" s="91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C8" s="6"/>
      <c r="AJ8" s="1"/>
      <c r="AK8" s="1"/>
    </row>
    <row r="9" spans="1:37" ht="11.25" customHeight="1">
      <c r="A9" s="142"/>
      <c r="B9" s="20">
        <f>IF(slk1mu18[[#This Row],[Name]]="","",_xlfn.RANK.EQ(slk1mu18[[#This Row],[Result]],_xlnm.Criteria,0))</f>
        <v>2</v>
      </c>
      <c r="C9" s="1" t="s">
        <v>169</v>
      </c>
      <c r="D9" s="1" t="s">
        <v>170</v>
      </c>
      <c r="E9" s="2" t="s">
        <v>171</v>
      </c>
      <c r="F9" s="20" t="s">
        <v>39</v>
      </c>
      <c r="G9" s="5">
        <v>20</v>
      </c>
      <c r="H9" s="5">
        <v>25</v>
      </c>
      <c r="I9" s="5">
        <v>25</v>
      </c>
      <c r="J9" s="5">
        <v>25</v>
      </c>
      <c r="K9" s="5">
        <v>20</v>
      </c>
      <c r="L9" s="5">
        <v>25</v>
      </c>
      <c r="M9" s="5">
        <v>25</v>
      </c>
      <c r="N9" s="5">
        <v>8.0000000000000002E-3</v>
      </c>
      <c r="O9" s="5">
        <v>8.9999999999999993E-3</v>
      </c>
      <c r="P9" s="5">
        <v>0.01</v>
      </c>
      <c r="Q9" s="5">
        <v>1.0999999999999999E-2</v>
      </c>
      <c r="R9" s="5">
        <v>1.2E-2</v>
      </c>
      <c r="S9" s="5">
        <v>1.2999999999999999E-2</v>
      </c>
      <c r="T9" s="5">
        <v>1.4E-2</v>
      </c>
      <c r="U9" s="5">
        <v>1.4999999999999999E-2</v>
      </c>
      <c r="V9" s="5">
        <v>20</v>
      </c>
      <c r="W9" s="5">
        <v>20</v>
      </c>
      <c r="X9" s="33">
        <f>SUMPRODUCT(slk1mu18[[#This Row],[1]:[17]]*(slk1mu18[[#This Row],[1]:[17]]&gt;=slk1mu18[[#This Row],[L]]))</f>
        <v>205.042</v>
      </c>
      <c r="Y9" s="99">
        <f>IF(slk1mu18[[#This Row],[Name]]="",0,LARGE(slk1mu18[[#This Row],[1]:[17]],$D$2))</f>
        <v>1.2999999999999999E-2</v>
      </c>
      <c r="Z9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C9" s="6"/>
      <c r="AJ9" s="1"/>
      <c r="AK9" s="1"/>
    </row>
    <row r="10" spans="1:37" ht="11.25" customHeight="1">
      <c r="A10" s="142"/>
      <c r="B10" s="20">
        <f>IF(slk1mu18[[#This Row],[Name]]="","",_xlfn.RANK.EQ(slk1mu18[[#This Row],[Result]],_xlnm.Criteria,0))</f>
        <v>3</v>
      </c>
      <c r="C10" s="1" t="s">
        <v>134</v>
      </c>
      <c r="D10" s="1" t="s">
        <v>122</v>
      </c>
      <c r="E10" s="2" t="s">
        <v>38</v>
      </c>
      <c r="F10" s="20" t="s">
        <v>39</v>
      </c>
      <c r="G10" s="5">
        <v>1E-3</v>
      </c>
      <c r="H10" s="5">
        <v>2E-3</v>
      </c>
      <c r="I10" s="5">
        <v>20</v>
      </c>
      <c r="J10" s="5">
        <v>15</v>
      </c>
      <c r="K10" s="5">
        <v>12</v>
      </c>
      <c r="L10" s="5">
        <v>15</v>
      </c>
      <c r="M10" s="5">
        <v>15</v>
      </c>
      <c r="N10" s="5">
        <v>12</v>
      </c>
      <c r="O10" s="5">
        <v>20</v>
      </c>
      <c r="P10" s="5">
        <v>20</v>
      </c>
      <c r="Q10" s="5">
        <v>25</v>
      </c>
      <c r="R10" s="5">
        <v>1.2E-2</v>
      </c>
      <c r="S10" s="5">
        <v>1.2999999999999999E-2</v>
      </c>
      <c r="T10" s="5">
        <v>1.4E-2</v>
      </c>
      <c r="U10" s="5">
        <v>1.4999999999999999E-2</v>
      </c>
      <c r="V10" s="5">
        <v>25</v>
      </c>
      <c r="W10" s="5">
        <v>25</v>
      </c>
      <c r="X10" s="33">
        <f>SUMPRODUCT(slk1mu18[[#This Row],[1]:[17]]*(slk1mu18[[#This Row],[1]:[17]]&gt;=slk1mu18[[#This Row],[L]]))</f>
        <v>204.01499999999999</v>
      </c>
      <c r="Y10" s="99">
        <f>IF(slk1mu18[[#This Row],[Name]]="",0,LARGE(slk1mu18[[#This Row],[1]:[17]],$D$2))</f>
        <v>1.4999999999999999E-2</v>
      </c>
      <c r="Z10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C10" s="6"/>
      <c r="AJ10" s="1"/>
      <c r="AK10" s="1"/>
    </row>
    <row r="11" spans="1:37" ht="11.25" customHeight="1">
      <c r="A11" s="142"/>
      <c r="B11" s="20">
        <f>IF(slk1mu18[[#This Row],[Name]]="","",_xlfn.RANK.EQ(slk1mu18[[#This Row],[Result]],_xlnm.Criteria,0))</f>
        <v>4</v>
      </c>
      <c r="C11" s="1" t="s">
        <v>88</v>
      </c>
      <c r="D11" s="1" t="s">
        <v>172</v>
      </c>
      <c r="E11" s="2" t="s">
        <v>173</v>
      </c>
      <c r="F11" s="20" t="s">
        <v>39</v>
      </c>
      <c r="G11" s="5">
        <v>15</v>
      </c>
      <c r="H11" s="5">
        <v>15</v>
      </c>
      <c r="I11" s="5">
        <v>11</v>
      </c>
      <c r="J11" s="5">
        <v>11.000999999999999</v>
      </c>
      <c r="K11" s="5">
        <v>15</v>
      </c>
      <c r="L11" s="5">
        <v>11.002000000000001</v>
      </c>
      <c r="M11" s="5">
        <v>12</v>
      </c>
      <c r="N11" s="5">
        <v>8.0000000000000002E-3</v>
      </c>
      <c r="O11" s="5">
        <v>8.9999999999999993E-3</v>
      </c>
      <c r="P11" s="5">
        <v>12</v>
      </c>
      <c r="Q11" s="5">
        <v>20</v>
      </c>
      <c r="R11" s="5">
        <v>25</v>
      </c>
      <c r="S11" s="5">
        <v>25</v>
      </c>
      <c r="T11" s="5">
        <v>20</v>
      </c>
      <c r="U11" s="5">
        <v>0</v>
      </c>
      <c r="V11" s="5">
        <v>15</v>
      </c>
      <c r="W11" s="5">
        <v>12</v>
      </c>
      <c r="X11" s="33">
        <f>SUMPRODUCT(slk1mu18[[#This Row],[1]:[17]]*(slk1mu18[[#This Row],[1]:[17]]&gt;=slk1mu18[[#This Row],[L]]))</f>
        <v>197.00200000000001</v>
      </c>
      <c r="Y11" s="99">
        <f>IF(slk1mu18[[#This Row],[Name]]="",0,LARGE(slk1mu18[[#This Row],[1]:[17]],$D$2))</f>
        <v>11.002000000000001</v>
      </c>
      <c r="Z11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C11" s="6"/>
      <c r="AJ11" s="1"/>
      <c r="AK11" s="1"/>
    </row>
    <row r="12" spans="1:37" ht="11.25" customHeight="1">
      <c r="A12" s="32"/>
      <c r="B12" s="20">
        <f>IF(slk1mu18[[#This Row],[Name]]="","",_xlfn.RANK.EQ(slk1mu18[[#This Row],[Result]],_xlnm.Criteria,0))</f>
        <v>5</v>
      </c>
      <c r="C12" s="1" t="s">
        <v>117</v>
      </c>
      <c r="D12" s="1" t="s">
        <v>118</v>
      </c>
      <c r="E12" s="2" t="s">
        <v>79</v>
      </c>
      <c r="F12" s="20" t="s">
        <v>39</v>
      </c>
      <c r="G12" s="5">
        <v>12</v>
      </c>
      <c r="H12" s="5">
        <v>12</v>
      </c>
      <c r="I12" s="5">
        <v>12</v>
      </c>
      <c r="J12" s="5">
        <v>12</v>
      </c>
      <c r="K12" s="5">
        <v>5.0000000000000001E-3</v>
      </c>
      <c r="L12" s="5">
        <v>6.0000000000000001E-3</v>
      </c>
      <c r="M12" s="5">
        <v>7.0000000000000001E-3</v>
      </c>
      <c r="N12" s="5">
        <v>15</v>
      </c>
      <c r="O12" s="5">
        <v>6</v>
      </c>
      <c r="P12" s="5">
        <v>15</v>
      </c>
      <c r="Q12" s="5">
        <v>15</v>
      </c>
      <c r="R12" s="5">
        <v>1.2E-2</v>
      </c>
      <c r="S12" s="5">
        <v>1.2999999999999999E-2</v>
      </c>
      <c r="T12" s="5">
        <v>1.4E-2</v>
      </c>
      <c r="U12" s="5">
        <v>1.4999999999999999E-2</v>
      </c>
      <c r="V12" s="5">
        <v>11</v>
      </c>
      <c r="W12" s="5">
        <v>10</v>
      </c>
      <c r="X12" s="33">
        <f>SUMPRODUCT(slk1mu18[[#This Row],[1]:[17]]*(slk1mu18[[#This Row],[1]:[17]]&gt;=slk1mu18[[#This Row],[L]]))</f>
        <v>120.029</v>
      </c>
      <c r="Y12" s="99">
        <f>IF(slk1mu18[[#This Row],[Name]]="",0,LARGE(slk1mu18[[#This Row],[1]:[17]],$D$2))</f>
        <v>1.4E-2</v>
      </c>
      <c r="Z12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C12" s="6"/>
      <c r="AJ12" s="1"/>
      <c r="AK12" s="1"/>
    </row>
    <row r="13" spans="1:37" ht="11.25" customHeight="1">
      <c r="A13" s="32"/>
      <c r="B13" s="20">
        <f>IF(slk1mu18[[#This Row],[Name]]="","",_xlfn.RANK.EQ(slk1mu18[[#This Row],[Result]],_xlnm.Criteria,0))</f>
        <v>6</v>
      </c>
      <c r="C13" s="1" t="s">
        <v>77</v>
      </c>
      <c r="D13" s="1" t="s">
        <v>123</v>
      </c>
      <c r="E13" s="2" t="s">
        <v>76</v>
      </c>
      <c r="F13" s="20" t="s">
        <v>39</v>
      </c>
      <c r="G13" s="5">
        <v>1E-3</v>
      </c>
      <c r="H13" s="5">
        <v>2E-3</v>
      </c>
      <c r="I13" s="5">
        <v>3.0000000000000001E-3</v>
      </c>
      <c r="J13" s="5">
        <v>4.0000000000000001E-3</v>
      </c>
      <c r="K13" s="5">
        <v>5.0000000000000001E-3</v>
      </c>
      <c r="L13" s="5">
        <v>6.0000000000000001E-3</v>
      </c>
      <c r="M13" s="5">
        <v>7.0000000000000001E-3</v>
      </c>
      <c r="N13" s="5">
        <v>9</v>
      </c>
      <c r="O13" s="5">
        <v>10</v>
      </c>
      <c r="P13" s="5">
        <v>11</v>
      </c>
      <c r="Q13" s="5">
        <v>10</v>
      </c>
      <c r="R13" s="5">
        <v>20</v>
      </c>
      <c r="S13" s="5">
        <v>1.2999999999999999E-2</v>
      </c>
      <c r="T13" s="5">
        <v>25</v>
      </c>
      <c r="U13" s="5">
        <v>25</v>
      </c>
      <c r="V13" s="5">
        <v>1.6E-2</v>
      </c>
      <c r="W13" s="5">
        <v>1.7000000000000001E-2</v>
      </c>
      <c r="X13" s="33">
        <f>SUMPRODUCT(slk1mu18[[#This Row],[1]:[17]]*(slk1mu18[[#This Row],[1]:[17]]&gt;=slk1mu18[[#This Row],[L]]))</f>
        <v>110.059</v>
      </c>
      <c r="Y13" s="99">
        <f>IF(slk1mu18[[#This Row],[Name]]="",0,LARGE(slk1mu18[[#This Row],[1]:[17]],$D$2))</f>
        <v>6.0000000000000001E-3</v>
      </c>
      <c r="Z13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C13" s="6"/>
      <c r="AJ13" s="1"/>
      <c r="AK13" s="1"/>
    </row>
    <row r="14" spans="1:37" ht="11.25" customHeight="1">
      <c r="A14" s="32"/>
      <c r="B14" s="20">
        <f>IF(slk1mu18[[#This Row],[Name]]="","",_xlfn.RANK.EQ(slk1mu18[[#This Row],[Result]],_xlnm.Criteria,0))</f>
        <v>7</v>
      </c>
      <c r="C14" s="1" t="s">
        <v>80</v>
      </c>
      <c r="D14" s="1" t="s">
        <v>135</v>
      </c>
      <c r="E14" s="2" t="s">
        <v>79</v>
      </c>
      <c r="F14" s="20" t="s">
        <v>39</v>
      </c>
      <c r="G14" s="5">
        <v>10</v>
      </c>
      <c r="H14" s="5">
        <v>10</v>
      </c>
      <c r="I14" s="5">
        <v>3.0000000000000001E-3</v>
      </c>
      <c r="J14" s="5">
        <v>4.0000000000000001E-3</v>
      </c>
      <c r="K14" s="5">
        <v>5.0000000000000001E-3</v>
      </c>
      <c r="L14" s="5">
        <v>6.0000000000000001E-3</v>
      </c>
      <c r="M14" s="5">
        <v>7.0000000000000001E-3</v>
      </c>
      <c r="N14" s="5">
        <v>20</v>
      </c>
      <c r="O14" s="5">
        <v>15</v>
      </c>
      <c r="P14" s="5">
        <v>12</v>
      </c>
      <c r="Q14" s="5">
        <v>12</v>
      </c>
      <c r="R14" s="5">
        <v>1.2E-2</v>
      </c>
      <c r="S14" s="5">
        <v>1.2999999999999999E-2</v>
      </c>
      <c r="T14" s="5">
        <v>1.4E-2</v>
      </c>
      <c r="U14" s="5">
        <v>1.4999999999999999E-2</v>
      </c>
      <c r="V14" s="5">
        <v>12</v>
      </c>
      <c r="W14" s="5">
        <v>11</v>
      </c>
      <c r="X14" s="33">
        <f>SUMPRODUCT(slk1mu18[[#This Row],[1]:[17]]*(slk1mu18[[#This Row],[1]:[17]]&gt;=slk1mu18[[#This Row],[L]]))</f>
        <v>102.054</v>
      </c>
      <c r="Y14" s="99">
        <f>IF(slk1mu18[[#This Row],[Name]]="",0,LARGE(slk1mu18[[#This Row],[1]:[17]],$D$2))</f>
        <v>1.2E-2</v>
      </c>
      <c r="Z14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C14" s="6"/>
      <c r="AJ14" s="1"/>
      <c r="AK14" s="1"/>
    </row>
    <row r="15" spans="1:37" ht="11.25" customHeight="1">
      <c r="A15" s="32"/>
      <c r="B15" s="20">
        <f>IF(slk1mu18[[#This Row],[Name]]="","",_xlfn.RANK.EQ(slk1mu18[[#This Row],[Result]],_xlnm.Criteria,0))</f>
        <v>8</v>
      </c>
      <c r="C15" s="1" t="s">
        <v>117</v>
      </c>
      <c r="D15" s="1" t="s">
        <v>174</v>
      </c>
      <c r="E15" s="2" t="s">
        <v>79</v>
      </c>
      <c r="F15" s="20" t="s">
        <v>39</v>
      </c>
      <c r="G15" s="5">
        <v>11</v>
      </c>
      <c r="H15" s="5">
        <v>11</v>
      </c>
      <c r="I15" s="5">
        <v>10</v>
      </c>
      <c r="J15" s="5">
        <v>10</v>
      </c>
      <c r="K15" s="5">
        <v>11</v>
      </c>
      <c r="L15" s="5">
        <v>12</v>
      </c>
      <c r="M15" s="5">
        <v>11</v>
      </c>
      <c r="N15" s="5">
        <v>8.0000000000000002E-3</v>
      </c>
      <c r="O15" s="5">
        <v>8.9999999999999993E-3</v>
      </c>
      <c r="P15" s="5">
        <v>0.01</v>
      </c>
      <c r="Q15" s="5">
        <v>1.0999999999999999E-2</v>
      </c>
      <c r="R15" s="5">
        <v>1.2E-2</v>
      </c>
      <c r="S15" s="5">
        <v>1.2999999999999999E-2</v>
      </c>
      <c r="T15" s="5">
        <v>1.4E-2</v>
      </c>
      <c r="U15" s="5">
        <v>1.4999999999999999E-2</v>
      </c>
      <c r="V15" s="5">
        <v>0</v>
      </c>
      <c r="W15" s="5">
        <v>0</v>
      </c>
      <c r="X15" s="33">
        <f>SUMPRODUCT(slk1mu18[[#This Row],[1]:[17]]*(slk1mu18[[#This Row],[1]:[17]]&gt;=slk1mu18[[#This Row],[L]]))</f>
        <v>76.064999999999998</v>
      </c>
      <c r="Y15" s="99">
        <f>IF(slk1mu18[[#This Row],[Name]]="",0,LARGE(slk1mu18[[#This Row],[1]:[17]],$D$2))</f>
        <v>1.0999999999999999E-2</v>
      </c>
      <c r="Z15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C15" s="6"/>
      <c r="AJ15" s="1"/>
      <c r="AK15" s="1"/>
    </row>
    <row r="16" spans="1:37" ht="11.25" customHeight="1">
      <c r="A16" s="32"/>
      <c r="B16" s="20">
        <f>IF(slk1mu18[[#This Row],[Name]]="","",_xlfn.RANK.EQ(slk1mu18[[#This Row],[Result]],_xlnm.Criteria,0))</f>
        <v>9</v>
      </c>
      <c r="C16" s="1" t="s">
        <v>119</v>
      </c>
      <c r="D16" s="1" t="s">
        <v>90</v>
      </c>
      <c r="E16" s="2" t="s">
        <v>91</v>
      </c>
      <c r="F16" s="20" t="s">
        <v>39</v>
      </c>
      <c r="G16" s="5">
        <v>1E-3</v>
      </c>
      <c r="H16" s="5">
        <v>2E-3</v>
      </c>
      <c r="I16" s="5">
        <v>3.0000000000000001E-3</v>
      </c>
      <c r="J16" s="5">
        <v>4.0000000000000001E-3</v>
      </c>
      <c r="K16" s="5">
        <v>5.0000000000000001E-3</v>
      </c>
      <c r="L16" s="5">
        <v>6.0000000000000001E-3</v>
      </c>
      <c r="M16" s="5">
        <v>7.0000000000000001E-3</v>
      </c>
      <c r="N16" s="5">
        <v>11</v>
      </c>
      <c r="O16" s="5">
        <v>11</v>
      </c>
      <c r="P16" s="5">
        <v>10</v>
      </c>
      <c r="Q16" s="5">
        <v>11</v>
      </c>
      <c r="R16" s="5">
        <v>1.2E-2</v>
      </c>
      <c r="S16" s="5">
        <v>1.2999999999999999E-2</v>
      </c>
      <c r="T16" s="5">
        <v>1.4E-2</v>
      </c>
      <c r="U16" s="5">
        <v>1.4999999999999999E-2</v>
      </c>
      <c r="V16" s="5">
        <v>6</v>
      </c>
      <c r="W16" s="5">
        <v>7</v>
      </c>
      <c r="X16" s="33">
        <f>SUMPRODUCT(slk1mu18[[#This Row],[1]:[17]]*(slk1mu18[[#This Row],[1]:[17]]&gt;=slk1mu18[[#This Row],[L]]))</f>
        <v>56.067</v>
      </c>
      <c r="Y16" s="99">
        <f>IF(slk1mu18[[#This Row],[Name]]="",0,LARGE(slk1mu18[[#This Row],[1]:[17]],$D$2))</f>
        <v>6.0000000000000001E-3</v>
      </c>
      <c r="Z16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C16" s="6"/>
      <c r="AJ16" s="1"/>
      <c r="AK16" s="1"/>
    </row>
    <row r="17" spans="1:37" ht="11.25" customHeight="1">
      <c r="A17" s="32"/>
      <c r="B17" s="20">
        <f>IF(slk1mu18[[#This Row],[Name]]="","",_xlfn.RANK.EQ(slk1mu18[[#This Row],[Result]],_xlnm.Criteria,0))</f>
        <v>10</v>
      </c>
      <c r="C17" s="1" t="s">
        <v>127</v>
      </c>
      <c r="D17" s="1" t="s">
        <v>128</v>
      </c>
      <c r="E17" s="2" t="s">
        <v>38</v>
      </c>
      <c r="F17" s="20" t="s">
        <v>39</v>
      </c>
      <c r="G17" s="5">
        <v>1E-3</v>
      </c>
      <c r="H17" s="5">
        <v>2E-3</v>
      </c>
      <c r="I17" s="5">
        <v>3.0000000000000001E-3</v>
      </c>
      <c r="J17" s="5">
        <v>4.0000000000000001E-3</v>
      </c>
      <c r="K17" s="5">
        <v>5.0000000000000001E-3</v>
      </c>
      <c r="L17" s="5">
        <v>6.0000000000000001E-3</v>
      </c>
      <c r="M17" s="5">
        <v>7.0000000000000001E-3</v>
      </c>
      <c r="N17" s="5">
        <v>7</v>
      </c>
      <c r="O17" s="5">
        <v>9</v>
      </c>
      <c r="P17" s="5">
        <v>8</v>
      </c>
      <c r="Q17" s="5">
        <v>8</v>
      </c>
      <c r="R17" s="5">
        <v>1.2E-2</v>
      </c>
      <c r="S17" s="5">
        <v>1.2999999999999999E-2</v>
      </c>
      <c r="T17" s="5">
        <v>1.4E-2</v>
      </c>
      <c r="U17" s="5">
        <v>1.4999999999999999E-2</v>
      </c>
      <c r="V17" s="5">
        <v>9</v>
      </c>
      <c r="W17" s="5">
        <v>8</v>
      </c>
      <c r="X17" s="33">
        <f>SUMPRODUCT(slk1mu18[[#This Row],[1]:[17]]*(slk1mu18[[#This Row],[1]:[17]]&gt;=slk1mu18[[#This Row],[L]]))</f>
        <v>49.067</v>
      </c>
      <c r="Y17" s="99">
        <f>IF(slk1mu18[[#This Row],[Name]]="",0,LARGE(slk1mu18[[#This Row],[1]:[17]],$D$2))</f>
        <v>6.0000000000000001E-3</v>
      </c>
      <c r="Z17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J17" s="1"/>
      <c r="AK17" s="1"/>
    </row>
    <row r="18" spans="1:37" ht="11.25" customHeight="1">
      <c r="A18" s="32"/>
      <c r="B18" s="20">
        <f>IF(slk1mu18[[#This Row],[Name]]="","",_xlfn.RANK.EQ(slk1mu18[[#This Row],[Result]],_xlnm.Criteria,0))</f>
        <v>11</v>
      </c>
      <c r="C18" s="1" t="s">
        <v>124</v>
      </c>
      <c r="D18" s="1" t="s">
        <v>137</v>
      </c>
      <c r="E18" s="2" t="s">
        <v>62</v>
      </c>
      <c r="F18" s="20" t="s">
        <v>39</v>
      </c>
      <c r="G18" s="5">
        <v>1E-3</v>
      </c>
      <c r="H18" s="5">
        <v>2E-3</v>
      </c>
      <c r="I18" s="5">
        <v>3.0000000000000001E-3</v>
      </c>
      <c r="J18" s="5">
        <v>4.0000000000000001E-3</v>
      </c>
      <c r="K18" s="5">
        <v>5.0000000000000001E-3</v>
      </c>
      <c r="L18" s="5">
        <v>6.0000000000000001E-3</v>
      </c>
      <c r="M18" s="5">
        <v>7.0000000000000001E-3</v>
      </c>
      <c r="N18" s="5">
        <v>6</v>
      </c>
      <c r="O18" s="5">
        <v>8</v>
      </c>
      <c r="P18" s="5">
        <v>9</v>
      </c>
      <c r="Q18" s="5">
        <v>9</v>
      </c>
      <c r="R18" s="5">
        <v>1.2E-2</v>
      </c>
      <c r="S18" s="5">
        <v>1.2999999999999999E-2</v>
      </c>
      <c r="T18" s="5">
        <v>1.4E-2</v>
      </c>
      <c r="U18" s="5">
        <v>1.4999999999999999E-2</v>
      </c>
      <c r="V18" s="5">
        <v>1.6E-2</v>
      </c>
      <c r="W18" s="5">
        <v>1.7000000000000001E-2</v>
      </c>
      <c r="X18" s="33">
        <f>SUMPRODUCT(slk1mu18[[#This Row],[1]:[17]]*(slk1mu18[[#This Row],[1]:[17]]&gt;=slk1mu18[[#This Row],[L]]))</f>
        <v>32.1</v>
      </c>
      <c r="Y18" s="99">
        <f>IF(slk1mu18[[#This Row],[Name]]="",0,LARGE(slk1mu18[[#This Row],[1]:[17]],$D$2))</f>
        <v>6.0000000000000001E-3</v>
      </c>
      <c r="Z18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J18" s="1"/>
      <c r="AK18" s="1"/>
    </row>
    <row r="19" spans="1:37" ht="11.25" customHeight="1">
      <c r="A19" s="32"/>
      <c r="B19" s="20">
        <f>IF(slk1mu18[[#This Row],[Name]]="","",_xlfn.RANK.EQ(slk1mu18[[#This Row],[Result]],_xlnm.Criteria,0))</f>
        <v>12</v>
      </c>
      <c r="C19" s="1" t="s">
        <v>126</v>
      </c>
      <c r="D19" s="1" t="s">
        <v>139</v>
      </c>
      <c r="E19" s="2" t="s">
        <v>38</v>
      </c>
      <c r="F19" s="20" t="s">
        <v>39</v>
      </c>
      <c r="G19" s="5">
        <v>1E-3</v>
      </c>
      <c r="H19" s="5">
        <v>2E-3</v>
      </c>
      <c r="I19" s="5">
        <v>3.0000000000000001E-3</v>
      </c>
      <c r="J19" s="5">
        <v>4.0000000000000001E-3</v>
      </c>
      <c r="K19" s="5">
        <v>5.0000000000000001E-3</v>
      </c>
      <c r="L19" s="5">
        <v>6.0000000000000001E-3</v>
      </c>
      <c r="M19" s="5">
        <v>7.0000000000000001E-3</v>
      </c>
      <c r="N19" s="5">
        <v>8</v>
      </c>
      <c r="O19" s="5">
        <v>7</v>
      </c>
      <c r="P19" s="5">
        <v>7</v>
      </c>
      <c r="Q19" s="5">
        <v>7</v>
      </c>
      <c r="R19" s="5">
        <v>1.2E-2</v>
      </c>
      <c r="S19" s="5">
        <v>1.2999999999999999E-2</v>
      </c>
      <c r="T19" s="5">
        <v>1.4E-2</v>
      </c>
      <c r="U19" s="5">
        <v>1.4999999999999999E-2</v>
      </c>
      <c r="V19" s="5">
        <v>1.6E-2</v>
      </c>
      <c r="W19" s="5">
        <v>1.7000000000000001E-2</v>
      </c>
      <c r="X19" s="33">
        <f>SUMPRODUCT(slk1mu18[[#This Row],[1]:[17]]*(slk1mu18[[#This Row],[1]:[17]]&gt;=slk1mu18[[#This Row],[L]]))</f>
        <v>29.099999999999998</v>
      </c>
      <c r="Y19" s="99">
        <f>IF(slk1mu18[[#This Row],[Name]]="",0,LARGE(slk1mu18[[#This Row],[1]:[17]],$D$2))</f>
        <v>6.0000000000000001E-3</v>
      </c>
      <c r="Z19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J19" s="1"/>
      <c r="AK19" s="1"/>
    </row>
    <row r="20" spans="1:37" ht="11.25" customHeight="1">
      <c r="A20" s="32"/>
      <c r="B20" s="20">
        <f>IF(slk1mu18[[#This Row],[Name]]="","",_xlfn.RANK.EQ(slk1mu18[[#This Row],[Result]],_xlnm.Criteria,0))</f>
        <v>13</v>
      </c>
      <c r="C20" s="1" t="s">
        <v>175</v>
      </c>
      <c r="D20" s="1" t="s">
        <v>176</v>
      </c>
      <c r="E20" s="2" t="s">
        <v>177</v>
      </c>
      <c r="F20" s="20" t="s">
        <v>39</v>
      </c>
      <c r="G20" s="5">
        <v>1E-3</v>
      </c>
      <c r="H20" s="5">
        <v>2E-3</v>
      </c>
      <c r="I20" s="5">
        <v>3.0000000000000001E-3</v>
      </c>
      <c r="J20" s="5">
        <v>4.0000000000000001E-3</v>
      </c>
      <c r="K20" s="5">
        <v>5.0000000000000001E-3</v>
      </c>
      <c r="L20" s="5">
        <v>6.0000000000000001E-3</v>
      </c>
      <c r="M20" s="5">
        <v>7.0000000000000001E-3</v>
      </c>
      <c r="N20" s="5">
        <v>10</v>
      </c>
      <c r="O20" s="5">
        <v>12</v>
      </c>
      <c r="P20" s="5">
        <v>0.01</v>
      </c>
      <c r="Q20" s="5">
        <v>1.0999999999999999E-2</v>
      </c>
      <c r="R20" s="5">
        <v>1.2E-2</v>
      </c>
      <c r="S20" s="5">
        <v>1.2999999999999999E-2</v>
      </c>
      <c r="T20" s="5">
        <v>1.4E-2</v>
      </c>
      <c r="U20" s="5">
        <v>1.4999999999999999E-2</v>
      </c>
      <c r="V20" s="5">
        <v>1.6E-2</v>
      </c>
      <c r="W20" s="5">
        <v>1.7000000000000001E-2</v>
      </c>
      <c r="X20" s="33">
        <f>SUMPRODUCT(slk1mu18[[#This Row],[1]:[17]]*(slk1mu18[[#This Row],[1]:[17]]&gt;=slk1mu18[[#This Row],[L]]))</f>
        <v>22.120999999999999</v>
      </c>
      <c r="Y20" s="99">
        <f>IF(slk1mu18[[#This Row],[Name]]="",0,LARGE(slk1mu18[[#This Row],[1]:[17]],$D$2))</f>
        <v>6.0000000000000001E-3</v>
      </c>
      <c r="Z20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J20" s="1"/>
      <c r="AK20" s="1"/>
    </row>
    <row r="21" spans="1:37" ht="11.25" customHeight="1">
      <c r="A21" s="32"/>
      <c r="B21" s="20">
        <f>IF(slk1mu18[[#This Row],[Name]]="","",_xlfn.RANK.EQ(slk1mu18[[#This Row],[Result]],_xlnm.Criteria,0))</f>
        <v>14</v>
      </c>
      <c r="C21" s="1" t="s">
        <v>178</v>
      </c>
      <c r="D21" s="1" t="s">
        <v>179</v>
      </c>
      <c r="E21" s="2" t="s">
        <v>110</v>
      </c>
      <c r="F21" s="20" t="s">
        <v>39</v>
      </c>
      <c r="G21" s="5">
        <v>1E-3</v>
      </c>
      <c r="H21" s="5">
        <v>2E-3</v>
      </c>
      <c r="I21" s="5">
        <v>3.0000000000000001E-3</v>
      </c>
      <c r="J21" s="5">
        <v>4.0000000000000001E-3</v>
      </c>
      <c r="K21" s="5">
        <v>5.0000000000000001E-3</v>
      </c>
      <c r="L21" s="5">
        <v>6.0000000000000001E-3</v>
      </c>
      <c r="M21" s="5">
        <v>7.0000000000000001E-3</v>
      </c>
      <c r="N21" s="5">
        <v>8.0000000000000002E-3</v>
      </c>
      <c r="O21" s="5">
        <v>8.9999999999999993E-3</v>
      </c>
      <c r="P21" s="5">
        <v>0.01</v>
      </c>
      <c r="Q21" s="5">
        <v>1.0999999999999999E-2</v>
      </c>
      <c r="R21" s="5">
        <v>1.2E-2</v>
      </c>
      <c r="S21" s="5">
        <v>1.2999999999999999E-2</v>
      </c>
      <c r="T21" s="5">
        <v>1.4E-2</v>
      </c>
      <c r="U21" s="5">
        <v>1.4999999999999999E-2</v>
      </c>
      <c r="V21" s="5">
        <v>10</v>
      </c>
      <c r="W21" s="5">
        <v>9</v>
      </c>
      <c r="X21" s="33">
        <f>SUMPRODUCT(slk1mu18[[#This Row],[1]:[17]]*(slk1mu18[[#This Row],[1]:[17]]&gt;=slk1mu18[[#This Row],[L]]))</f>
        <v>19.105</v>
      </c>
      <c r="Y21" s="99">
        <f>IF(slk1mu18[[#This Row],[Name]]="",0,LARGE(slk1mu18[[#This Row],[1]:[17]],$D$2))</f>
        <v>6.0000000000000001E-3</v>
      </c>
      <c r="Z21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J21" s="1"/>
      <c r="AK21" s="1"/>
    </row>
    <row r="22" spans="1:37" ht="11.25" customHeight="1">
      <c r="A22" s="32"/>
      <c r="B22" s="20">
        <f>IF(slk1mu18[[#This Row],[Name]]="","",_xlfn.RANK.EQ(slk1mu18[[#This Row],[Result]],_xlnm.Criteria,0))</f>
        <v>15</v>
      </c>
      <c r="C22" s="1" t="s">
        <v>180</v>
      </c>
      <c r="D22" s="1" t="s">
        <v>181</v>
      </c>
      <c r="E22" s="2" t="s">
        <v>76</v>
      </c>
      <c r="F22" s="20" t="s">
        <v>39</v>
      </c>
      <c r="G22" s="5">
        <v>1E-3</v>
      </c>
      <c r="H22" s="5">
        <v>2E-3</v>
      </c>
      <c r="I22" s="5">
        <v>3.0000000000000001E-3</v>
      </c>
      <c r="J22" s="5">
        <v>4.0000000000000001E-3</v>
      </c>
      <c r="K22" s="5">
        <v>5.0000000000000001E-3</v>
      </c>
      <c r="L22" s="5">
        <v>6.0000000000000001E-3</v>
      </c>
      <c r="M22" s="5">
        <v>7.0000000000000001E-3</v>
      </c>
      <c r="N22" s="5">
        <v>8.0000000000000002E-3</v>
      </c>
      <c r="O22" s="5">
        <v>8.9999999999999993E-3</v>
      </c>
      <c r="P22" s="5">
        <v>0.01</v>
      </c>
      <c r="Q22" s="5">
        <v>1.0999999999999999E-2</v>
      </c>
      <c r="R22" s="5">
        <v>1.2E-2</v>
      </c>
      <c r="S22" s="5">
        <v>1.2999999999999999E-2</v>
      </c>
      <c r="T22" s="5">
        <v>1.4E-2</v>
      </c>
      <c r="U22" s="5">
        <v>1.4999999999999999E-2</v>
      </c>
      <c r="V22" s="5">
        <v>7</v>
      </c>
      <c r="W22" s="5">
        <v>6</v>
      </c>
      <c r="X22" s="33">
        <f>SUMPRODUCT(slk1mu18[[#This Row],[1]:[17]]*(slk1mu18[[#This Row],[1]:[17]]&gt;=slk1mu18[[#This Row],[L]]))</f>
        <v>13.105</v>
      </c>
      <c r="Y22" s="99">
        <f>IF(slk1mu18[[#This Row],[Name]]="",0,LARGE(slk1mu18[[#This Row],[1]:[17]],$D$2))</f>
        <v>6.0000000000000001E-3</v>
      </c>
      <c r="Z22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J22" s="1"/>
      <c r="AK22" s="1"/>
    </row>
    <row r="23" spans="1:37" ht="11.25" hidden="1" customHeight="1">
      <c r="A23" s="32"/>
      <c r="B23" s="20" t="str">
        <f>IF(slk1mu18[[#This Row],[Name]]="","",_xlfn.RANK.EQ(slk1mu18[[#This Row],[Result]],_xlnm.Criteria,0))</f>
        <v/>
      </c>
      <c r="E23" s="2"/>
      <c r="F23" s="20"/>
      <c r="G23" s="5">
        <v>1E-3</v>
      </c>
      <c r="H23" s="5">
        <v>2E-3</v>
      </c>
      <c r="I23" s="5">
        <v>3.0000000000000001E-3</v>
      </c>
      <c r="J23" s="5">
        <v>4.0000000000000001E-3</v>
      </c>
      <c r="K23" s="5">
        <v>5.0000000000000001E-3</v>
      </c>
      <c r="L23" s="5">
        <v>6.0000000000000001E-3</v>
      </c>
      <c r="M23" s="5">
        <v>7.0000000000000001E-3</v>
      </c>
      <c r="N23" s="5">
        <v>8.0000000000000002E-3</v>
      </c>
      <c r="O23" s="5">
        <v>8.9999999999999993E-3</v>
      </c>
      <c r="P23" s="5">
        <v>0.01</v>
      </c>
      <c r="Q23" s="5">
        <v>1.0999999999999999E-2</v>
      </c>
      <c r="R23" s="5">
        <v>1.2E-2</v>
      </c>
      <c r="S23" s="5">
        <v>1.2999999999999999E-2</v>
      </c>
      <c r="T23" s="5">
        <v>1.4E-2</v>
      </c>
      <c r="U23" s="5">
        <v>1.4999999999999999E-2</v>
      </c>
      <c r="V23" s="5">
        <v>1.6E-2</v>
      </c>
      <c r="W23" s="5">
        <v>1.7000000000000001E-2</v>
      </c>
      <c r="X23" s="33">
        <f>SUMPRODUCT(slk1mu18[[#This Row],[1]:[17]]*(slk1mu18[[#This Row],[1]:[17]]&gt;=slk1mu18[[#This Row],[L]]))</f>
        <v>0.15300000000000002</v>
      </c>
      <c r="Y23" s="99">
        <f>IF(slk1mu18[[#This Row],[Name]]="",0,LARGE(slk1mu18[[#This Row],[1]:[17]],$D$2))</f>
        <v>0</v>
      </c>
      <c r="Z23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J23" s="1"/>
      <c r="AK23" s="1"/>
    </row>
    <row r="24" spans="1:37" ht="11.25" hidden="1" customHeight="1">
      <c r="A24" s="32"/>
      <c r="B24" s="20" t="str">
        <f>IF(slk1mu18[[#This Row],[Name]]="","",_xlfn.RANK.EQ(slk1mu18[[#This Row],[Result]],_xlnm.Criteria,0))</f>
        <v/>
      </c>
      <c r="E24" s="2"/>
      <c r="F24" s="20"/>
      <c r="G24" s="5">
        <v>1E-3</v>
      </c>
      <c r="H24" s="5">
        <v>2E-3</v>
      </c>
      <c r="I24" s="5">
        <v>3.0000000000000001E-3</v>
      </c>
      <c r="J24" s="5">
        <v>4.0000000000000001E-3</v>
      </c>
      <c r="K24" s="5">
        <v>5.0000000000000001E-3</v>
      </c>
      <c r="L24" s="5">
        <v>6.0000000000000001E-3</v>
      </c>
      <c r="M24" s="5">
        <v>7.0000000000000001E-3</v>
      </c>
      <c r="N24" s="5">
        <v>8.0000000000000002E-3</v>
      </c>
      <c r="O24" s="5">
        <v>8.9999999999999993E-3</v>
      </c>
      <c r="P24" s="5">
        <v>0.01</v>
      </c>
      <c r="Q24" s="5">
        <v>1.0999999999999999E-2</v>
      </c>
      <c r="R24" s="5">
        <v>1.2E-2</v>
      </c>
      <c r="S24" s="5">
        <v>1.2999999999999999E-2</v>
      </c>
      <c r="T24" s="5">
        <v>1.4E-2</v>
      </c>
      <c r="U24" s="5">
        <v>1.4999999999999999E-2</v>
      </c>
      <c r="V24" s="5">
        <v>1.6E-2</v>
      </c>
      <c r="W24" s="5">
        <v>1.7000000000000001E-2</v>
      </c>
      <c r="X24" s="33">
        <f>SUMPRODUCT(slk1mu18[[#This Row],[1]:[17]]*(slk1mu18[[#This Row],[1]:[17]]&gt;=slk1mu18[[#This Row],[L]]))</f>
        <v>0.15300000000000002</v>
      </c>
      <c r="Y24" s="99">
        <f>IF(slk1mu18[[#This Row],[Name]]="",0,LARGE(slk1mu18[[#This Row],[1]:[17]],$D$2))</f>
        <v>0</v>
      </c>
      <c r="Z24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J24" s="1"/>
      <c r="AK24" s="1"/>
    </row>
    <row r="25" spans="1:37" ht="11.25" hidden="1" customHeight="1">
      <c r="A25" s="32"/>
      <c r="B25" s="20" t="str">
        <f>IF(slk1mu18[[#This Row],[Name]]="","",_xlfn.RANK.EQ(slk1mu18[[#This Row],[Result]],_xlnm.Criteria,0))</f>
        <v/>
      </c>
      <c r="E25" s="2"/>
      <c r="F25" s="20"/>
      <c r="G25" s="5">
        <v>1E-3</v>
      </c>
      <c r="H25" s="5">
        <v>2E-3</v>
      </c>
      <c r="I25" s="5">
        <v>3.0000000000000001E-3</v>
      </c>
      <c r="J25" s="5">
        <v>4.0000000000000001E-3</v>
      </c>
      <c r="K25" s="5">
        <v>5.0000000000000001E-3</v>
      </c>
      <c r="L25" s="5">
        <v>6.0000000000000001E-3</v>
      </c>
      <c r="M25" s="5">
        <v>7.0000000000000001E-3</v>
      </c>
      <c r="N25" s="5">
        <v>8.0000000000000002E-3</v>
      </c>
      <c r="O25" s="5">
        <v>8.9999999999999993E-3</v>
      </c>
      <c r="P25" s="5">
        <v>0.01</v>
      </c>
      <c r="Q25" s="5">
        <v>1.0999999999999999E-2</v>
      </c>
      <c r="R25" s="5">
        <v>1.2E-2</v>
      </c>
      <c r="S25" s="5">
        <v>1.2999999999999999E-2</v>
      </c>
      <c r="T25" s="5">
        <v>1.4E-2</v>
      </c>
      <c r="U25" s="5">
        <v>1.4999999999999999E-2</v>
      </c>
      <c r="V25" s="5">
        <v>1.6E-2</v>
      </c>
      <c r="W25" s="5">
        <v>1.7000000000000001E-2</v>
      </c>
      <c r="X25" s="33">
        <f>SUMPRODUCT(slk1mu18[[#This Row],[1]:[17]]*(slk1mu18[[#This Row],[1]:[17]]&gt;=slk1mu18[[#This Row],[L]]))</f>
        <v>0.15300000000000002</v>
      </c>
      <c r="Y25" s="99">
        <f>IF(slk1mu18[[#This Row],[Name]]="",0,LARGE(slk1mu18[[#This Row],[1]:[17]],$D$2))</f>
        <v>0</v>
      </c>
      <c r="Z25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J25" s="1"/>
      <c r="AK25" s="1"/>
    </row>
    <row r="26" spans="1:37" ht="11.25" hidden="1" customHeight="1">
      <c r="A26" s="32"/>
      <c r="B26" s="20" t="str">
        <f>IF(slk1mu18[[#This Row],[Name]]="","",_xlfn.RANK.EQ(slk1mu18[[#This Row],[Result]],_xlnm.Criteria,0))</f>
        <v/>
      </c>
      <c r="E26" s="2"/>
      <c r="F26" s="20"/>
      <c r="G26" s="5">
        <v>1E-3</v>
      </c>
      <c r="H26" s="5">
        <v>2E-3</v>
      </c>
      <c r="I26" s="5">
        <v>3.0000000000000001E-3</v>
      </c>
      <c r="J26" s="5">
        <v>4.0000000000000001E-3</v>
      </c>
      <c r="K26" s="5">
        <v>5.0000000000000001E-3</v>
      </c>
      <c r="L26" s="5">
        <v>6.0000000000000001E-3</v>
      </c>
      <c r="M26" s="5">
        <v>7.0000000000000001E-3</v>
      </c>
      <c r="N26" s="5">
        <v>8.0000000000000002E-3</v>
      </c>
      <c r="O26" s="5">
        <v>8.9999999999999993E-3</v>
      </c>
      <c r="P26" s="5">
        <v>0.01</v>
      </c>
      <c r="Q26" s="5">
        <v>1.0999999999999999E-2</v>
      </c>
      <c r="R26" s="5">
        <v>1.2E-2</v>
      </c>
      <c r="S26" s="5">
        <v>1.2999999999999999E-2</v>
      </c>
      <c r="T26" s="5">
        <v>1.4E-2</v>
      </c>
      <c r="U26" s="5">
        <v>1.4999999999999999E-2</v>
      </c>
      <c r="V26" s="5">
        <v>1.6E-2</v>
      </c>
      <c r="W26" s="5">
        <v>1.7000000000000001E-2</v>
      </c>
      <c r="X26" s="33">
        <f>SUMPRODUCT(slk1mu18[[#This Row],[1]:[17]]*(slk1mu18[[#This Row],[1]:[17]]&gt;=slk1mu18[[#This Row],[L]]))</f>
        <v>0.15300000000000002</v>
      </c>
      <c r="Y26" s="99">
        <f>IF(slk1mu18[[#This Row],[Name]]="",0,LARGE(slk1mu18[[#This Row],[1]:[17]],$D$2))</f>
        <v>0</v>
      </c>
      <c r="Z26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J26" s="1"/>
      <c r="AK26" s="1"/>
    </row>
    <row r="27" spans="1:37" ht="11.25" hidden="1" customHeight="1">
      <c r="A27" s="32"/>
      <c r="B27" s="20" t="str">
        <f>IF(slk1mu18[[#This Row],[Name]]="","",_xlfn.RANK.EQ(slk1mu18[[#This Row],[Result]],_xlnm.Criteria,0))</f>
        <v/>
      </c>
      <c r="E27" s="2"/>
      <c r="F27" s="20"/>
      <c r="G27" s="5">
        <v>1E-3</v>
      </c>
      <c r="H27" s="5">
        <v>2E-3</v>
      </c>
      <c r="I27" s="5">
        <v>3.0000000000000001E-3</v>
      </c>
      <c r="J27" s="5">
        <v>4.0000000000000001E-3</v>
      </c>
      <c r="K27" s="5">
        <v>5.0000000000000001E-3</v>
      </c>
      <c r="L27" s="5">
        <v>6.0000000000000001E-3</v>
      </c>
      <c r="M27" s="5">
        <v>7.0000000000000001E-3</v>
      </c>
      <c r="N27" s="5">
        <v>8.0000000000000002E-3</v>
      </c>
      <c r="O27" s="5">
        <v>8.9999999999999993E-3</v>
      </c>
      <c r="P27" s="5">
        <v>0.01</v>
      </c>
      <c r="Q27" s="5">
        <v>1.0999999999999999E-2</v>
      </c>
      <c r="R27" s="5">
        <v>1.2E-2</v>
      </c>
      <c r="S27" s="5">
        <v>1.2999999999999999E-2</v>
      </c>
      <c r="T27" s="5">
        <v>1.4E-2</v>
      </c>
      <c r="U27" s="5">
        <v>1.4999999999999999E-2</v>
      </c>
      <c r="V27" s="5">
        <v>1.6E-2</v>
      </c>
      <c r="W27" s="5">
        <v>1.7000000000000001E-2</v>
      </c>
      <c r="X27" s="33">
        <f>SUMPRODUCT(slk1mu18[[#This Row],[1]:[17]]*(slk1mu18[[#This Row],[1]:[17]]&gt;=slk1mu18[[#This Row],[L]]))</f>
        <v>0.15300000000000002</v>
      </c>
      <c r="Y27" s="99">
        <f>IF(slk1mu18[[#This Row],[Name]]="",0,LARGE(slk1mu18[[#This Row],[1]:[17]],$D$2))</f>
        <v>0</v>
      </c>
      <c r="Z27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J27" s="1"/>
      <c r="AK27" s="1"/>
    </row>
    <row r="28" spans="1:37" ht="11.25" hidden="1" customHeight="1">
      <c r="A28" s="32"/>
      <c r="B28" s="20" t="str">
        <f>IF(slk1mu18[[#This Row],[Name]]="","",_xlfn.RANK.EQ(slk1mu18[[#This Row],[Result]],_xlnm.Criteria,0))</f>
        <v/>
      </c>
      <c r="E28" s="2"/>
      <c r="F28" s="20"/>
      <c r="G28" s="5">
        <v>1E-3</v>
      </c>
      <c r="H28" s="5">
        <v>2E-3</v>
      </c>
      <c r="I28" s="5">
        <v>3.0000000000000001E-3</v>
      </c>
      <c r="J28" s="5">
        <v>4.0000000000000001E-3</v>
      </c>
      <c r="K28" s="5">
        <v>5.0000000000000001E-3</v>
      </c>
      <c r="L28" s="5">
        <v>6.0000000000000001E-3</v>
      </c>
      <c r="M28" s="5">
        <v>7.0000000000000001E-3</v>
      </c>
      <c r="N28" s="5">
        <v>8.0000000000000002E-3</v>
      </c>
      <c r="O28" s="5">
        <v>8.9999999999999993E-3</v>
      </c>
      <c r="P28" s="5">
        <v>0.01</v>
      </c>
      <c r="Q28" s="5">
        <v>1.0999999999999999E-2</v>
      </c>
      <c r="R28" s="5">
        <v>1.2E-2</v>
      </c>
      <c r="S28" s="5">
        <v>1.2999999999999999E-2</v>
      </c>
      <c r="T28" s="5">
        <v>1.4E-2</v>
      </c>
      <c r="U28" s="5">
        <v>1.4999999999999999E-2</v>
      </c>
      <c r="V28" s="5">
        <v>1.6E-2</v>
      </c>
      <c r="W28" s="5">
        <v>1.7000000000000001E-2</v>
      </c>
      <c r="X28" s="33">
        <f>SUMPRODUCT(slk1mu18[[#This Row],[1]:[17]]*(slk1mu18[[#This Row],[1]:[17]]&gt;=slk1mu18[[#This Row],[L]]))</f>
        <v>0.15300000000000002</v>
      </c>
      <c r="Y28" s="99">
        <f>IF(slk1mu18[[#This Row],[Name]]="",0,LARGE(slk1mu18[[#This Row],[1]:[17]],$D$2))</f>
        <v>0</v>
      </c>
      <c r="Z28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J28" s="1"/>
      <c r="AK28" s="1"/>
    </row>
    <row r="29" spans="1:37" ht="11.25" hidden="1" customHeight="1">
      <c r="A29" s="32"/>
      <c r="B29" s="20" t="str">
        <f>IF(slk1mu18[[#This Row],[Name]]="","",_xlfn.RANK.EQ(slk1mu18[[#This Row],[Result]],_xlnm.Criteria,0))</f>
        <v/>
      </c>
      <c r="E29" s="2"/>
      <c r="F29" s="20"/>
      <c r="G29" s="5">
        <v>1E-3</v>
      </c>
      <c r="H29" s="5">
        <v>2E-3</v>
      </c>
      <c r="I29" s="5">
        <v>3.0000000000000001E-3</v>
      </c>
      <c r="J29" s="5">
        <v>4.0000000000000001E-3</v>
      </c>
      <c r="K29" s="5">
        <v>5.0000000000000001E-3</v>
      </c>
      <c r="L29" s="5">
        <v>6.0000000000000001E-3</v>
      </c>
      <c r="M29" s="5">
        <v>7.0000000000000001E-3</v>
      </c>
      <c r="N29" s="5">
        <v>8.0000000000000002E-3</v>
      </c>
      <c r="O29" s="5">
        <v>8.9999999999999993E-3</v>
      </c>
      <c r="P29" s="5">
        <v>0.01</v>
      </c>
      <c r="Q29" s="5">
        <v>1.0999999999999999E-2</v>
      </c>
      <c r="R29" s="5">
        <v>1.2E-2</v>
      </c>
      <c r="S29" s="5">
        <v>1.2999999999999999E-2</v>
      </c>
      <c r="T29" s="5">
        <v>1.4E-2</v>
      </c>
      <c r="U29" s="5">
        <v>1.4999999999999999E-2</v>
      </c>
      <c r="V29" s="5">
        <v>1.6E-2</v>
      </c>
      <c r="W29" s="5">
        <v>1.7000000000000001E-2</v>
      </c>
      <c r="X29" s="33">
        <f>SUMPRODUCT(slk1mu18[[#This Row],[1]:[17]]*(slk1mu18[[#This Row],[1]:[17]]&gt;=slk1mu18[[#This Row],[L]]))</f>
        <v>0.15300000000000002</v>
      </c>
      <c r="Y29" s="99">
        <f>IF(slk1mu18[[#This Row],[Name]]="",0,LARGE(slk1mu18[[#This Row],[1]:[17]],$D$2))</f>
        <v>0</v>
      </c>
      <c r="Z29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J29" s="1"/>
      <c r="AK29" s="1"/>
    </row>
    <row r="30" spans="1:37" customFormat="1" ht="11.25" hidden="1" customHeight="1">
      <c r="A30" s="32"/>
      <c r="B30" s="20" t="str">
        <f>IF(slk1mu18[[#This Row],[Name]]="","",_xlfn.RANK.EQ(slk1mu18[[#This Row],[Result]],_xlnm.Criteria,0))</f>
        <v/>
      </c>
      <c r="E30" s="7"/>
      <c r="F30" s="20"/>
      <c r="G30" s="5">
        <v>1E-3</v>
      </c>
      <c r="H30" s="5">
        <v>2E-3</v>
      </c>
      <c r="I30" s="5">
        <v>3.0000000000000001E-3</v>
      </c>
      <c r="J30" s="5">
        <v>4.0000000000000001E-3</v>
      </c>
      <c r="K30" s="5">
        <v>5.0000000000000001E-3</v>
      </c>
      <c r="L30" s="5">
        <v>6.0000000000000001E-3</v>
      </c>
      <c r="M30" s="5">
        <v>7.0000000000000001E-3</v>
      </c>
      <c r="N30" s="5">
        <v>8.0000000000000002E-3</v>
      </c>
      <c r="O30" s="5">
        <v>8.9999999999999993E-3</v>
      </c>
      <c r="P30" s="5">
        <v>0.01</v>
      </c>
      <c r="Q30" s="5">
        <v>1.0999999999999999E-2</v>
      </c>
      <c r="R30" s="5">
        <v>1.2E-2</v>
      </c>
      <c r="S30" s="5">
        <v>1.2999999999999999E-2</v>
      </c>
      <c r="T30" s="5">
        <v>1.4E-2</v>
      </c>
      <c r="U30" s="5">
        <v>1.4999999999999999E-2</v>
      </c>
      <c r="V30" s="5">
        <v>1.6E-2</v>
      </c>
      <c r="W30" s="5">
        <v>1.7000000000000001E-2</v>
      </c>
      <c r="X30" s="143">
        <f>SUMPRODUCT(slk1mu18[[#This Row],[1]:[17]]*(slk1mu18[[#This Row],[1]:[17]]&gt;=slk1mu18[[#This Row],[L]]))</f>
        <v>0.15300000000000002</v>
      </c>
      <c r="Y30" s="99">
        <f>IF(slk1mu18[[#This Row],[Name]]="",0,LARGE(slk1mu18[[#This Row],[1]:[17]],$D$2))</f>
        <v>0</v>
      </c>
      <c r="Z30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</row>
    <row r="31" spans="1:37" customFormat="1" ht="11.25" hidden="1" customHeight="1">
      <c r="A31" s="32"/>
      <c r="B31" s="20" t="str">
        <f>IF(slk1mu18[[#This Row],[Name]]="","",_xlfn.RANK.EQ(slk1mu18[[#This Row],[Result]],_xlnm.Criteria,0))</f>
        <v/>
      </c>
      <c r="E31" s="7"/>
      <c r="F31" s="20"/>
      <c r="G31" s="5">
        <v>1E-3</v>
      </c>
      <c r="H31" s="5">
        <v>2E-3</v>
      </c>
      <c r="I31" s="5">
        <v>3.0000000000000001E-3</v>
      </c>
      <c r="J31" s="5">
        <v>4.0000000000000001E-3</v>
      </c>
      <c r="K31" s="5">
        <v>5.0000000000000001E-3</v>
      </c>
      <c r="L31" s="5">
        <v>6.0000000000000001E-3</v>
      </c>
      <c r="M31" s="5">
        <v>7.0000000000000001E-3</v>
      </c>
      <c r="N31" s="5">
        <v>8.0000000000000002E-3</v>
      </c>
      <c r="O31" s="5">
        <v>8.9999999999999993E-3</v>
      </c>
      <c r="P31" s="5">
        <v>0.01</v>
      </c>
      <c r="Q31" s="5">
        <v>1.0999999999999999E-2</v>
      </c>
      <c r="R31" s="5">
        <v>1.2E-2</v>
      </c>
      <c r="S31" s="5">
        <v>1.2999999999999999E-2</v>
      </c>
      <c r="T31" s="5">
        <v>1.4E-2</v>
      </c>
      <c r="U31" s="5">
        <v>1.4999999999999999E-2</v>
      </c>
      <c r="V31" s="5">
        <v>1.6E-2</v>
      </c>
      <c r="W31" s="5">
        <v>1.7000000000000001E-2</v>
      </c>
      <c r="X31" s="143">
        <f>SUMPRODUCT(slk1mu18[[#This Row],[1]:[17]]*(slk1mu18[[#This Row],[1]:[17]]&gt;=slk1mu18[[#This Row],[L]]))</f>
        <v>0.15300000000000002</v>
      </c>
      <c r="Y31" s="99">
        <f>IF(slk1mu18[[#This Row],[Name]]="",0,LARGE(slk1mu18[[#This Row],[1]:[17]],$D$2))</f>
        <v>0</v>
      </c>
      <c r="Z31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</row>
    <row r="32" spans="1:37" customFormat="1" ht="11.25" hidden="1" customHeight="1">
      <c r="A32" s="32"/>
      <c r="B32" s="20" t="str">
        <f>IF(slk1mu18[[#This Row],[Name]]="","",_xlfn.RANK.EQ(slk1mu18[[#This Row],[Result]],_xlnm.Criteria,0))</f>
        <v/>
      </c>
      <c r="E32" s="7"/>
      <c r="F32" s="20"/>
      <c r="G32" s="5">
        <v>1E-3</v>
      </c>
      <c r="H32" s="5">
        <v>2E-3</v>
      </c>
      <c r="I32" s="5">
        <v>3.0000000000000001E-3</v>
      </c>
      <c r="J32" s="5">
        <v>4.0000000000000001E-3</v>
      </c>
      <c r="K32" s="5">
        <v>5.0000000000000001E-3</v>
      </c>
      <c r="L32" s="5">
        <v>6.0000000000000001E-3</v>
      </c>
      <c r="M32" s="5">
        <v>7.0000000000000001E-3</v>
      </c>
      <c r="N32" s="5">
        <v>8.0000000000000002E-3</v>
      </c>
      <c r="O32" s="5">
        <v>8.9999999999999993E-3</v>
      </c>
      <c r="P32" s="5">
        <v>0.01</v>
      </c>
      <c r="Q32" s="5">
        <v>1.0999999999999999E-2</v>
      </c>
      <c r="R32" s="5">
        <v>1.2E-2</v>
      </c>
      <c r="S32" s="5">
        <v>1.2999999999999999E-2</v>
      </c>
      <c r="T32" s="5">
        <v>1.4E-2</v>
      </c>
      <c r="U32" s="5">
        <v>1.4999999999999999E-2</v>
      </c>
      <c r="V32" s="5">
        <v>1.6E-2</v>
      </c>
      <c r="W32" s="5">
        <v>1.7000000000000001E-2</v>
      </c>
      <c r="X32" s="143">
        <f>SUMPRODUCT(slk1mu18[[#This Row],[1]:[17]]*(slk1mu18[[#This Row],[1]:[17]]&gt;=slk1mu18[[#This Row],[L]]))</f>
        <v>0.15300000000000002</v>
      </c>
      <c r="Y32" s="99">
        <f>IF(slk1mu18[[#This Row],[Name]]="",0,LARGE(slk1mu18[[#This Row],[1]:[17]],$D$2))</f>
        <v>0</v>
      </c>
      <c r="Z32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</row>
    <row r="33" spans="1:37" customFormat="1" ht="11.25" hidden="1" customHeight="1">
      <c r="A33" s="32"/>
      <c r="B33" s="20" t="str">
        <f>IF(slk1mu18[[#This Row],[Name]]="","",_xlfn.RANK.EQ(slk1mu18[[#This Row],[Result]],_xlnm.Criteria,0))</f>
        <v/>
      </c>
      <c r="E33" s="7"/>
      <c r="F33" s="20"/>
      <c r="G33" s="5">
        <v>1E-3</v>
      </c>
      <c r="H33" s="5">
        <v>2E-3</v>
      </c>
      <c r="I33" s="5">
        <v>3.0000000000000001E-3</v>
      </c>
      <c r="J33" s="5">
        <v>4.0000000000000001E-3</v>
      </c>
      <c r="K33" s="5">
        <v>5.0000000000000001E-3</v>
      </c>
      <c r="L33" s="5">
        <v>6.0000000000000001E-3</v>
      </c>
      <c r="M33" s="5">
        <v>7.0000000000000001E-3</v>
      </c>
      <c r="N33" s="5">
        <v>8.0000000000000002E-3</v>
      </c>
      <c r="O33" s="5">
        <v>8.9999999999999993E-3</v>
      </c>
      <c r="P33" s="5">
        <v>0.01</v>
      </c>
      <c r="Q33" s="5">
        <v>1.0999999999999999E-2</v>
      </c>
      <c r="R33" s="5">
        <v>1.2E-2</v>
      </c>
      <c r="S33" s="5">
        <v>1.2999999999999999E-2</v>
      </c>
      <c r="T33" s="5">
        <v>1.4E-2</v>
      </c>
      <c r="U33" s="5">
        <v>1.4999999999999999E-2</v>
      </c>
      <c r="V33" s="5">
        <v>1.6E-2</v>
      </c>
      <c r="W33" s="5">
        <v>1.7000000000000001E-2</v>
      </c>
      <c r="X33" s="143">
        <f>SUMPRODUCT(slk1mu18[[#This Row],[1]:[17]]*(slk1mu18[[#This Row],[1]:[17]]&gt;=slk1mu18[[#This Row],[L]]))</f>
        <v>0.15300000000000002</v>
      </c>
      <c r="Y33" s="99">
        <f>IF(slk1mu18[[#This Row],[Name]]="",0,LARGE(slk1mu18[[#This Row],[1]:[17]],$D$2))</f>
        <v>0</v>
      </c>
      <c r="Z33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</row>
    <row r="34" spans="1:37" ht="11.25" hidden="1" customHeight="1">
      <c r="A34" s="32"/>
      <c r="B34" s="20" t="str">
        <f>IF(slk1mu18[[#This Row],[Name]]="","",_xlfn.RANK.EQ(slk1mu18[[#This Row],[Result]],_xlnm.Criteria,0))</f>
        <v/>
      </c>
      <c r="E34" s="2"/>
      <c r="F34" s="20"/>
      <c r="G34" s="5">
        <v>1E-3</v>
      </c>
      <c r="H34" s="5">
        <v>2E-3</v>
      </c>
      <c r="I34" s="5">
        <v>3.0000000000000001E-3</v>
      </c>
      <c r="J34" s="5">
        <v>4.0000000000000001E-3</v>
      </c>
      <c r="K34" s="5">
        <v>5.0000000000000001E-3</v>
      </c>
      <c r="L34" s="5">
        <v>6.0000000000000001E-3</v>
      </c>
      <c r="M34" s="5">
        <v>7.0000000000000001E-3</v>
      </c>
      <c r="N34" s="5">
        <v>8.0000000000000002E-3</v>
      </c>
      <c r="O34" s="5">
        <v>8.9999999999999993E-3</v>
      </c>
      <c r="P34" s="5">
        <v>0.01</v>
      </c>
      <c r="Q34" s="5">
        <v>1.0999999999999999E-2</v>
      </c>
      <c r="R34" s="5">
        <v>1.2E-2</v>
      </c>
      <c r="S34" s="5">
        <v>1.2999999999999999E-2</v>
      </c>
      <c r="T34" s="5">
        <v>1.4E-2</v>
      </c>
      <c r="U34" s="5">
        <v>1.4999999999999999E-2</v>
      </c>
      <c r="V34" s="5">
        <v>1.6E-2</v>
      </c>
      <c r="W34" s="5">
        <v>1.7000000000000001E-2</v>
      </c>
      <c r="X34" s="33">
        <f>SUMPRODUCT(slk1mu18[[#This Row],[1]:[17]]*(slk1mu18[[#This Row],[1]:[17]]&gt;=slk1mu18[[#This Row],[L]]))</f>
        <v>0.15300000000000002</v>
      </c>
      <c r="Y34" s="99">
        <f>IF(slk1mu18[[#This Row],[Name]]="",0,LARGE(slk1mu18[[#This Row],[1]:[17]],$D$2))</f>
        <v>0</v>
      </c>
      <c r="Z34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J34" s="1"/>
      <c r="AK34" s="1"/>
    </row>
    <row r="35" spans="1:37" ht="11.25" hidden="1" customHeight="1">
      <c r="A35" s="32"/>
      <c r="B35" s="20" t="str">
        <f>IF(slk1mu18[[#This Row],[Name]]="","",_xlfn.RANK.EQ(slk1mu18[[#This Row],[Result]],_xlnm.Criteria,0))</f>
        <v/>
      </c>
      <c r="E35" s="2"/>
      <c r="F35" s="20"/>
      <c r="G35" s="5">
        <v>1E-3</v>
      </c>
      <c r="H35" s="5">
        <v>2E-3</v>
      </c>
      <c r="I35" s="5">
        <v>3.0000000000000001E-3</v>
      </c>
      <c r="J35" s="5">
        <v>4.0000000000000001E-3</v>
      </c>
      <c r="K35" s="5">
        <v>5.0000000000000001E-3</v>
      </c>
      <c r="L35" s="5">
        <v>6.0000000000000001E-3</v>
      </c>
      <c r="M35" s="5">
        <v>7.0000000000000001E-3</v>
      </c>
      <c r="N35" s="5">
        <v>8.0000000000000002E-3</v>
      </c>
      <c r="O35" s="5">
        <v>8.9999999999999993E-3</v>
      </c>
      <c r="P35" s="5">
        <v>0.01</v>
      </c>
      <c r="Q35" s="5">
        <v>1.0999999999999999E-2</v>
      </c>
      <c r="R35" s="5">
        <v>1.2E-2</v>
      </c>
      <c r="S35" s="5">
        <v>1.2999999999999999E-2</v>
      </c>
      <c r="T35" s="5">
        <v>1.4E-2</v>
      </c>
      <c r="U35" s="5">
        <v>1.4999999999999999E-2</v>
      </c>
      <c r="V35" s="5">
        <v>1.6E-2</v>
      </c>
      <c r="W35" s="5">
        <v>1.7000000000000001E-2</v>
      </c>
      <c r="X35" s="33">
        <f>SUMPRODUCT(slk1mu18[[#This Row],[1]:[17]]*(slk1mu18[[#This Row],[1]:[17]]&gt;=slk1mu18[[#This Row],[L]]))</f>
        <v>0.15300000000000002</v>
      </c>
      <c r="Y35" s="99">
        <f>IF(slk1mu18[[#This Row],[Name]]="",0,LARGE(slk1mu18[[#This Row],[1]:[17]],$D$2))</f>
        <v>0</v>
      </c>
      <c r="Z35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J35" s="1"/>
      <c r="AK35" s="1"/>
    </row>
    <row r="36" spans="1:37" ht="11.25" hidden="1" customHeight="1" thickBot="1">
      <c r="A36" s="34"/>
      <c r="B36" s="35" t="str">
        <f>IF(slk1mu18[[#This Row],[Name]]="","",_xlfn.RANK.EQ(slk1mu18[[#This Row],[Result]],_xlnm.Criteria,0))</f>
        <v/>
      </c>
      <c r="C36" s="51"/>
      <c r="D36" s="51"/>
      <c r="E36" s="52"/>
      <c r="F36" s="35"/>
      <c r="G36" s="36">
        <v>1E-3</v>
      </c>
      <c r="H36" s="36">
        <v>2E-3</v>
      </c>
      <c r="I36" s="5">
        <v>3.0000000000000001E-3</v>
      </c>
      <c r="J36" s="5">
        <v>4.0000000000000001E-3</v>
      </c>
      <c r="K36" s="5">
        <v>5.0000000000000001E-3</v>
      </c>
      <c r="L36" s="5">
        <v>6.0000000000000001E-3</v>
      </c>
      <c r="M36" s="5">
        <v>7.0000000000000001E-3</v>
      </c>
      <c r="N36" s="5">
        <v>8.0000000000000002E-3</v>
      </c>
      <c r="O36" s="5">
        <v>8.9999999999999993E-3</v>
      </c>
      <c r="P36" s="5">
        <v>0.01</v>
      </c>
      <c r="Q36" s="5">
        <v>1.0999999999999999E-2</v>
      </c>
      <c r="R36" s="5">
        <v>1.2E-2</v>
      </c>
      <c r="S36" s="5">
        <v>1.2999999999999999E-2</v>
      </c>
      <c r="T36" s="5">
        <v>1.4E-2</v>
      </c>
      <c r="U36" s="5">
        <v>1.4999999999999999E-2</v>
      </c>
      <c r="V36" s="5">
        <v>1.6E-2</v>
      </c>
      <c r="W36" s="5">
        <v>1.7000000000000001E-2</v>
      </c>
      <c r="X36" s="37">
        <f>SUMPRODUCT(slk1mu18[[#This Row],[1]:[17]]*(slk1mu18[[#This Row],[1]:[17]]&gt;=slk1mu18[[#This Row],[L]]))</f>
        <v>0.15300000000000002</v>
      </c>
      <c r="Y36" s="99">
        <f>IF(slk1mu18[[#This Row],[Name]]="",0,LARGE(slk1mu18[[#This Row],[1]:[17]],$D$2))</f>
        <v>0</v>
      </c>
      <c r="Z36" s="88" t="str">
        <f>IF(OR((COUNTIFS(slk1mu18[[#This Row],[1]:[17]],"="&amp;slk1mu18[[#This Row],[L]])=16),(COUNTIFS(slk1mu18[[#This Row],[1]:[17]],"="&amp;slk1mu18[[#This Row],[L]])&lt;2)),"OK","Fehler (zu wenig Streicher) [Gleiche Werte jeweils um 0,1 erhöhen]")</f>
        <v>OK</v>
      </c>
      <c r="AJ36" s="1"/>
      <c r="AK36" s="1"/>
    </row>
    <row r="40" spans="1:37" ht="11.25" customHeight="1">
      <c r="X40" s="3"/>
      <c r="Y40" s="174" t="s">
        <v>17</v>
      </c>
      <c r="Z40" s="89"/>
    </row>
    <row r="41" spans="1:37" ht="38.25" customHeight="1" thickBot="1">
      <c r="A41" s="176" t="s">
        <v>40</v>
      </c>
      <c r="B41" s="177"/>
      <c r="C41" s="177"/>
      <c r="D41" s="177"/>
      <c r="E41" s="177"/>
      <c r="F41" s="214"/>
      <c r="G41" s="8"/>
      <c r="H41" s="9"/>
      <c r="I41" s="8"/>
      <c r="J41" s="8"/>
      <c r="K41" s="79"/>
      <c r="L41" s="8"/>
      <c r="M41" s="8"/>
      <c r="N41" s="45"/>
      <c r="O41" s="10"/>
      <c r="P41" s="12"/>
      <c r="Q41" s="12"/>
      <c r="R41" s="14"/>
      <c r="S41" s="13"/>
      <c r="T41" s="14"/>
      <c r="U41" s="15"/>
      <c r="V41" s="21"/>
      <c r="W41" s="11"/>
      <c r="X41" s="93"/>
      <c r="Y41" s="186"/>
      <c r="Z41" s="89"/>
    </row>
    <row r="42" spans="1:37" ht="12" thickBot="1">
      <c r="A42" s="145" t="s">
        <v>19</v>
      </c>
      <c r="B42" s="146" t="s">
        <v>20</v>
      </c>
      <c r="C42" s="146" t="s">
        <v>21</v>
      </c>
      <c r="D42" s="146" t="s">
        <v>22</v>
      </c>
      <c r="E42" s="146" t="s">
        <v>23</v>
      </c>
      <c r="F42" s="146" t="s">
        <v>24</v>
      </c>
      <c r="G42" s="146" t="s">
        <v>25</v>
      </c>
      <c r="H42" s="146" t="s">
        <v>26</v>
      </c>
      <c r="I42" s="146" t="s">
        <v>27</v>
      </c>
      <c r="J42" s="146" t="s">
        <v>28</v>
      </c>
      <c r="K42" s="146" t="s">
        <v>29</v>
      </c>
      <c r="L42" s="146" t="s">
        <v>30</v>
      </c>
      <c r="M42" s="146" t="s">
        <v>31</v>
      </c>
      <c r="N42" s="146" t="s">
        <v>32</v>
      </c>
      <c r="O42" s="146" t="s">
        <v>102</v>
      </c>
      <c r="P42" s="146" t="s">
        <v>103</v>
      </c>
      <c r="Q42" s="146" t="s">
        <v>104</v>
      </c>
      <c r="R42" s="146" t="s">
        <v>105</v>
      </c>
      <c r="S42" s="146" t="s">
        <v>164</v>
      </c>
      <c r="T42" s="146" t="s">
        <v>165</v>
      </c>
      <c r="U42" s="146" t="s">
        <v>166</v>
      </c>
      <c r="V42" s="146" t="s">
        <v>167</v>
      </c>
      <c r="W42" s="146" t="s">
        <v>168</v>
      </c>
      <c r="X42" s="147" t="s">
        <v>33</v>
      </c>
      <c r="Y42" s="83" t="s">
        <v>34</v>
      </c>
      <c r="Z42" s="17" t="s">
        <v>35</v>
      </c>
    </row>
    <row r="43" spans="1:37">
      <c r="A43" s="144"/>
      <c r="B43" s="102">
        <f>IF(slk1wu182022[[#This Row],[Name]]="","",_xlfn.RANK.EQ(slk1wu182022[[#This Row],[Result]],slk1wu182022[Result],0))</f>
        <v>1</v>
      </c>
      <c r="C43" s="103" t="s">
        <v>130</v>
      </c>
      <c r="D43" s="103" t="s">
        <v>42</v>
      </c>
      <c r="E43" s="104" t="s">
        <v>62</v>
      </c>
      <c r="F43" s="102" t="s">
        <v>39</v>
      </c>
      <c r="G43" s="105">
        <v>1E-3</v>
      </c>
      <c r="H43" s="105">
        <v>2E-3</v>
      </c>
      <c r="I43" s="105">
        <v>3.0000000000000001E-3</v>
      </c>
      <c r="J43" s="105">
        <v>4.0000000000000001E-3</v>
      </c>
      <c r="K43" s="105">
        <v>5.0000000000000001E-3</v>
      </c>
      <c r="L43" s="105">
        <v>6.0000000000000001E-3</v>
      </c>
      <c r="M43" s="105">
        <v>7.0000000000000001E-3</v>
      </c>
      <c r="N43" s="105">
        <v>25</v>
      </c>
      <c r="O43" s="105">
        <v>25</v>
      </c>
      <c r="P43" s="105">
        <v>25</v>
      </c>
      <c r="Q43" s="105">
        <v>25</v>
      </c>
      <c r="R43" s="105">
        <v>1.2E-2</v>
      </c>
      <c r="S43" s="105">
        <v>1.2999999999999999E-2</v>
      </c>
      <c r="T43" s="105">
        <v>1.4E-2</v>
      </c>
      <c r="U43" s="105">
        <v>1.4999999999999999E-2</v>
      </c>
      <c r="V43" s="105">
        <v>25</v>
      </c>
      <c r="W43" s="105">
        <v>25</v>
      </c>
      <c r="X43" s="106">
        <f>SUMPRODUCT(slk1wu182022[[#This Row],[1]:[17]]*(slk1wu182022[[#This Row],[1]:[17]]&gt;=slk1wu182022[[#This Row],[L]]))</f>
        <v>150.06700000000001</v>
      </c>
      <c r="Y43" s="98">
        <f>IF(slk1wu182022[[#This Row],[Name]]="",0,LARGE(slk1wu182022[[#This Row],[1]:[17]],$D$2))</f>
        <v>6.0000000000000001E-3</v>
      </c>
      <c r="Z43" s="91" t="str">
        <f>IF(OR((COUNTIFS(slk1wu182022[[#This Row],[1]:[17]],"="&amp;slk1wu182022[[#This Row],[L]])=16),(COUNTIFS(slk1wu182022[[#This Row],[1]:[17]],"="&amp;slk1wu182022[[#This Row],[L]])&lt;2)),"OK","Fehler (zu wenig Streicher) [Gleiche Werte jeweils um 0,1 erhöhen]")</f>
        <v>OK</v>
      </c>
    </row>
    <row r="44" spans="1:37" ht="12" hidden="1">
      <c r="A44" s="142"/>
      <c r="B44" s="20">
        <f>IF(slk1wu182022[[#This Row],[Name]]="","",_xlfn.RANK.EQ(slk1wu182022[[#This Row],[Result]],slk1wu182022[Result],0))</f>
        <v>5</v>
      </c>
      <c r="C44" s="1" t="s">
        <v>92</v>
      </c>
      <c r="D44" s="1" t="s">
        <v>93</v>
      </c>
      <c r="E44" s="2" t="s">
        <v>94</v>
      </c>
      <c r="F44" s="20" t="s">
        <v>39</v>
      </c>
      <c r="G44" s="5">
        <v>1E-3</v>
      </c>
      <c r="H44" s="5">
        <v>2E-3</v>
      </c>
      <c r="I44" s="5">
        <v>3.0000000000000001E-3</v>
      </c>
      <c r="J44" s="5">
        <v>4.0000000000000001E-3</v>
      </c>
      <c r="K44" s="5">
        <v>5.0000000000000001E-3</v>
      </c>
      <c r="L44" s="5">
        <v>6.0000000000000001E-3</v>
      </c>
      <c r="M44" s="5">
        <v>7.0000000000000001E-3</v>
      </c>
      <c r="N44" s="5">
        <v>8.0000000000000002E-3</v>
      </c>
      <c r="O44" s="5">
        <v>8.9999999999999993E-3</v>
      </c>
      <c r="P44" s="5">
        <v>0.01</v>
      </c>
      <c r="Q44" s="5">
        <v>1.0999999999999999E-2</v>
      </c>
      <c r="R44" s="5">
        <v>1.2E-2</v>
      </c>
      <c r="S44" s="5">
        <v>1.2999999999999999E-2</v>
      </c>
      <c r="T44" s="5">
        <v>1.4E-2</v>
      </c>
      <c r="U44" s="5">
        <v>1.4999999999999999E-2</v>
      </c>
      <c r="V44" s="5">
        <v>1.6E-2</v>
      </c>
      <c r="W44" s="5">
        <v>1.7000000000000001E-2</v>
      </c>
      <c r="X44" s="33">
        <f>SUMPRODUCT(slk1wu182022[[#This Row],[1]:[17]]*(slk1wu182022[[#This Row],[1]:[17]]&gt;=slk1wu182022[[#This Row],[L]]))</f>
        <v>0.13800000000000001</v>
      </c>
      <c r="Y44" s="99">
        <f>IF(slk1wu182022[[#This Row],[Name]]="",0,LARGE(slk1wu182022[[#This Row],[1]:[17]],$D$2))</f>
        <v>6.0000000000000001E-3</v>
      </c>
      <c r="Z44" s="88" t="str">
        <f>IF(OR((COUNTIFS(slk1wu182022[[#This Row],[1]:[17]],"="&amp;slk1wu182022[[#This Row],[L]])=16),(COUNTIFS(slk1wu182022[[#This Row],[1]:[17]],"="&amp;slk1wu182022[[#This Row],[L]])&lt;2)),"OK","Fehler (zu wenig Streicher) [Gleiche Werte jeweils um 0,1 erhöhen]")</f>
        <v>OK</v>
      </c>
    </row>
    <row r="45" spans="1:37" ht="12" hidden="1">
      <c r="A45" s="142"/>
      <c r="B45" s="20">
        <f>IF(slk1wu182022[[#This Row],[Name]]="","",_xlfn.RANK.EQ(slk1wu182022[[#This Row],[Result]],slk1wu182022[Result],0))</f>
        <v>5</v>
      </c>
      <c r="C45" s="1" t="s">
        <v>92</v>
      </c>
      <c r="D45" s="1" t="s">
        <v>93</v>
      </c>
      <c r="E45" s="2" t="s">
        <v>94</v>
      </c>
      <c r="F45" s="20" t="s">
        <v>39</v>
      </c>
      <c r="G45" s="5">
        <v>1E-3</v>
      </c>
      <c r="H45" s="5">
        <v>2E-3</v>
      </c>
      <c r="I45" s="5">
        <v>3.0000000000000001E-3</v>
      </c>
      <c r="J45" s="5">
        <v>4.0000000000000001E-3</v>
      </c>
      <c r="K45" s="5">
        <v>5.0000000000000001E-3</v>
      </c>
      <c r="L45" s="5">
        <v>6.0000000000000001E-3</v>
      </c>
      <c r="M45" s="5">
        <v>7.0000000000000001E-3</v>
      </c>
      <c r="N45" s="5">
        <v>8.0000000000000002E-3</v>
      </c>
      <c r="O45" s="5">
        <v>8.9999999999999993E-3</v>
      </c>
      <c r="P45" s="5">
        <v>0.01</v>
      </c>
      <c r="Q45" s="5">
        <v>1.0999999999999999E-2</v>
      </c>
      <c r="R45" s="5">
        <v>1.2E-2</v>
      </c>
      <c r="S45" s="5">
        <v>1.2999999999999999E-2</v>
      </c>
      <c r="T45" s="5">
        <v>1.4E-2</v>
      </c>
      <c r="U45" s="5">
        <v>1.4999999999999999E-2</v>
      </c>
      <c r="V45" s="5">
        <v>1.6E-2</v>
      </c>
      <c r="W45" s="5">
        <v>1.7000000000000001E-2</v>
      </c>
      <c r="X45" s="33">
        <f>SUMPRODUCT(slk1wu182022[[#This Row],[1]:[17]]*(slk1wu182022[[#This Row],[1]:[17]]&gt;=slk1wu182022[[#This Row],[L]]))</f>
        <v>0.13800000000000001</v>
      </c>
      <c r="Y45" s="99">
        <f>IF(slk1wu182022[[#This Row],[Name]]="",0,LARGE(slk1wu182022[[#This Row],[1]:[17]],$D$2))</f>
        <v>6.0000000000000001E-3</v>
      </c>
      <c r="Z45" s="88" t="str">
        <f>IF(OR((COUNTIFS(slk1wu182022[[#This Row],[1]:[17]],"="&amp;slk1wu182022[[#This Row],[L]])=16),(COUNTIFS(slk1wu182022[[#This Row],[1]:[17]],"="&amp;slk1wu182022[[#This Row],[L]])&lt;2)),"OK","Fehler (zu wenig Streicher) [Gleiche Werte jeweils um 0,1 erhöhen]")</f>
        <v>OK</v>
      </c>
    </row>
    <row r="46" spans="1:37" ht="12" hidden="1">
      <c r="A46" s="142"/>
      <c r="B46" s="20">
        <f>IF(slk1wu182022[[#This Row],[Name]]="","",_xlfn.RANK.EQ(slk1wu182022[[#This Row],[Result]],slk1wu182022[Result],0))</f>
        <v>5</v>
      </c>
      <c r="C46" s="1" t="s">
        <v>92</v>
      </c>
      <c r="D46" s="1" t="s">
        <v>93</v>
      </c>
      <c r="E46" s="2" t="s">
        <v>94</v>
      </c>
      <c r="F46" s="20" t="s">
        <v>39</v>
      </c>
      <c r="G46" s="5">
        <v>1E-3</v>
      </c>
      <c r="H46" s="5">
        <v>2E-3</v>
      </c>
      <c r="I46" s="5">
        <v>3.0000000000000001E-3</v>
      </c>
      <c r="J46" s="5">
        <v>4.0000000000000001E-3</v>
      </c>
      <c r="K46" s="5">
        <v>5.0000000000000001E-3</v>
      </c>
      <c r="L46" s="5">
        <v>6.0000000000000001E-3</v>
      </c>
      <c r="M46" s="5">
        <v>7.0000000000000001E-3</v>
      </c>
      <c r="N46" s="5">
        <v>8.0000000000000002E-3</v>
      </c>
      <c r="O46" s="5">
        <v>8.9999999999999993E-3</v>
      </c>
      <c r="P46" s="5">
        <v>0.01</v>
      </c>
      <c r="Q46" s="5">
        <v>1.0999999999999999E-2</v>
      </c>
      <c r="R46" s="5">
        <v>1.2E-2</v>
      </c>
      <c r="S46" s="5">
        <v>1.2999999999999999E-2</v>
      </c>
      <c r="T46" s="5">
        <v>1.4E-2</v>
      </c>
      <c r="U46" s="5">
        <v>1.4999999999999999E-2</v>
      </c>
      <c r="V46" s="5">
        <v>1.6E-2</v>
      </c>
      <c r="W46" s="5">
        <v>1.7000000000000001E-2</v>
      </c>
      <c r="X46" s="33">
        <f>SUMPRODUCT(slk1wu182022[[#This Row],[1]:[17]]*(slk1wu182022[[#This Row],[1]:[17]]&gt;=slk1wu182022[[#This Row],[L]]))</f>
        <v>0.13800000000000001</v>
      </c>
      <c r="Y46" s="99">
        <f>IF(slk1wu182022[[#This Row],[Name]]="",0,LARGE(slk1wu182022[[#This Row],[1]:[17]],$D$2))</f>
        <v>6.0000000000000001E-3</v>
      </c>
      <c r="Z46" s="88" t="str">
        <f>IF(OR((COUNTIFS(slk1wu182022[[#This Row],[1]:[17]],"="&amp;slk1wu182022[[#This Row],[L]])=16),(COUNTIFS(slk1wu182022[[#This Row],[1]:[17]],"="&amp;slk1wu182022[[#This Row],[L]])&lt;2)),"OK","Fehler (zu wenig Streicher) [Gleiche Werte jeweils um 0,1 erhöhen]")</f>
        <v>OK</v>
      </c>
    </row>
    <row r="47" spans="1:37" ht="12" hidden="1">
      <c r="A47" s="32"/>
      <c r="B47" s="20">
        <f>IF(slk1wu182022[[#This Row],[Name]]="","",_xlfn.RANK.EQ(slk1wu182022[[#This Row],[Result]],slk1wu182022[Result],0))</f>
        <v>5</v>
      </c>
      <c r="C47" s="1" t="s">
        <v>92</v>
      </c>
      <c r="D47" s="1" t="s">
        <v>93</v>
      </c>
      <c r="E47" s="2" t="s">
        <v>94</v>
      </c>
      <c r="F47" s="20" t="s">
        <v>39</v>
      </c>
      <c r="G47" s="5">
        <v>1E-3</v>
      </c>
      <c r="H47" s="5">
        <v>2E-3</v>
      </c>
      <c r="I47" s="5">
        <v>3.0000000000000001E-3</v>
      </c>
      <c r="J47" s="5">
        <v>4.0000000000000001E-3</v>
      </c>
      <c r="K47" s="5">
        <v>5.0000000000000001E-3</v>
      </c>
      <c r="L47" s="5">
        <v>6.0000000000000001E-3</v>
      </c>
      <c r="M47" s="5">
        <v>7.0000000000000001E-3</v>
      </c>
      <c r="N47" s="5">
        <v>8.0000000000000002E-3</v>
      </c>
      <c r="O47" s="5">
        <v>8.9999999999999993E-3</v>
      </c>
      <c r="P47" s="5">
        <v>0.01</v>
      </c>
      <c r="Q47" s="5">
        <v>1.0999999999999999E-2</v>
      </c>
      <c r="R47" s="5">
        <v>1.2E-2</v>
      </c>
      <c r="S47" s="5">
        <v>1.2999999999999999E-2</v>
      </c>
      <c r="T47" s="5">
        <v>1.4E-2</v>
      </c>
      <c r="U47" s="5">
        <v>1.4999999999999999E-2</v>
      </c>
      <c r="V47" s="5">
        <v>1.6E-2</v>
      </c>
      <c r="W47" s="5">
        <v>1.7000000000000001E-2</v>
      </c>
      <c r="X47" s="33">
        <f>SUMPRODUCT(slk1wu182022[[#This Row],[1]:[17]]*(slk1wu182022[[#This Row],[1]:[17]]&gt;=slk1wu182022[[#This Row],[L]]))</f>
        <v>0.13800000000000001</v>
      </c>
      <c r="Y47" s="99">
        <f>IF(slk1wu182022[[#This Row],[Name]]="",0,LARGE(slk1wu182022[[#This Row],[1]:[17]],$D$2))</f>
        <v>6.0000000000000001E-3</v>
      </c>
      <c r="Z47" s="88" t="str">
        <f>IF(OR((COUNTIFS(slk1wu182022[[#This Row],[1]:[17]],"="&amp;slk1wu182022[[#This Row],[L]])=16),(COUNTIFS(slk1wu182022[[#This Row],[1]:[17]],"="&amp;slk1wu182022[[#This Row],[L]])&lt;2)),"OK","Fehler (zu wenig Streicher) [Gleiche Werte jeweils um 0,1 erhöhen]")</f>
        <v>OK</v>
      </c>
    </row>
    <row r="48" spans="1:37" ht="12" hidden="1">
      <c r="A48" s="32"/>
      <c r="B48" s="20">
        <f>IF(slk1wu182022[[#This Row],[Name]]="","",_xlfn.RANK.EQ(slk1wu182022[[#This Row],[Result]],slk1wu182022[Result],0))</f>
        <v>5</v>
      </c>
      <c r="C48" s="1" t="s">
        <v>92</v>
      </c>
      <c r="D48" s="1" t="s">
        <v>93</v>
      </c>
      <c r="E48" s="2" t="s">
        <v>94</v>
      </c>
      <c r="F48" s="20" t="s">
        <v>39</v>
      </c>
      <c r="G48" s="5">
        <v>1E-3</v>
      </c>
      <c r="H48" s="5">
        <v>2E-3</v>
      </c>
      <c r="I48" s="5">
        <v>3.0000000000000001E-3</v>
      </c>
      <c r="J48" s="5">
        <v>4.0000000000000001E-3</v>
      </c>
      <c r="K48" s="5">
        <v>5.0000000000000001E-3</v>
      </c>
      <c r="L48" s="5">
        <v>6.0000000000000001E-3</v>
      </c>
      <c r="M48" s="5">
        <v>7.0000000000000001E-3</v>
      </c>
      <c r="N48" s="5">
        <v>8.0000000000000002E-3</v>
      </c>
      <c r="O48" s="5">
        <v>8.9999999999999993E-3</v>
      </c>
      <c r="P48" s="5">
        <v>0.01</v>
      </c>
      <c r="Q48" s="5">
        <v>1.0999999999999999E-2</v>
      </c>
      <c r="R48" s="5">
        <v>1.2E-2</v>
      </c>
      <c r="S48" s="5">
        <v>1.2999999999999999E-2</v>
      </c>
      <c r="T48" s="5">
        <v>1.4E-2</v>
      </c>
      <c r="U48" s="5">
        <v>1.4999999999999999E-2</v>
      </c>
      <c r="V48" s="5">
        <v>1.6E-2</v>
      </c>
      <c r="W48" s="5">
        <v>1.7000000000000001E-2</v>
      </c>
      <c r="X48" s="33">
        <f>SUMPRODUCT(slk1wu182022[[#This Row],[1]:[17]]*(slk1wu182022[[#This Row],[1]:[17]]&gt;=slk1wu182022[[#This Row],[L]]))</f>
        <v>0.13800000000000001</v>
      </c>
      <c r="Y48" s="99">
        <f>IF(slk1wu182022[[#This Row],[Name]]="",0,LARGE(slk1wu182022[[#This Row],[1]:[17]],$D$2))</f>
        <v>6.0000000000000001E-3</v>
      </c>
      <c r="Z48" s="88" t="str">
        <f>IF(OR((COUNTIFS(slk1wu182022[[#This Row],[1]:[17]],"="&amp;slk1wu182022[[#This Row],[L]])=16),(COUNTIFS(slk1wu182022[[#This Row],[1]:[17]],"="&amp;slk1wu182022[[#This Row],[L]])&lt;2)),"OK","Fehler (zu wenig Streicher) [Gleiche Werte jeweils um 0,1 erhöhen]")</f>
        <v>OK</v>
      </c>
    </row>
    <row r="49" spans="1:26" ht="12" hidden="1">
      <c r="A49" s="32"/>
      <c r="B49" s="20">
        <f>IF(slk1wu182022[[#This Row],[Name]]="","",_xlfn.RANK.EQ(slk1wu182022[[#This Row],[Result]],slk1wu182022[Result],0))</f>
        <v>5</v>
      </c>
      <c r="C49" s="1" t="s">
        <v>92</v>
      </c>
      <c r="D49" s="1" t="s">
        <v>93</v>
      </c>
      <c r="E49" s="2" t="s">
        <v>94</v>
      </c>
      <c r="F49" s="20" t="s">
        <v>39</v>
      </c>
      <c r="G49" s="5">
        <v>1E-3</v>
      </c>
      <c r="H49" s="5">
        <v>2E-3</v>
      </c>
      <c r="I49" s="5">
        <v>3.0000000000000001E-3</v>
      </c>
      <c r="J49" s="5">
        <v>4.0000000000000001E-3</v>
      </c>
      <c r="K49" s="5">
        <v>5.0000000000000001E-3</v>
      </c>
      <c r="L49" s="5">
        <v>6.0000000000000001E-3</v>
      </c>
      <c r="M49" s="5">
        <v>7.0000000000000001E-3</v>
      </c>
      <c r="N49" s="5">
        <v>8.0000000000000002E-3</v>
      </c>
      <c r="O49" s="5">
        <v>8.9999999999999993E-3</v>
      </c>
      <c r="P49" s="5">
        <v>0.01</v>
      </c>
      <c r="Q49" s="5">
        <v>1.0999999999999999E-2</v>
      </c>
      <c r="R49" s="5">
        <v>1.2E-2</v>
      </c>
      <c r="S49" s="5">
        <v>1.2999999999999999E-2</v>
      </c>
      <c r="T49" s="5">
        <v>1.4E-2</v>
      </c>
      <c r="U49" s="5">
        <v>1.4999999999999999E-2</v>
      </c>
      <c r="V49" s="5">
        <v>1.6E-2</v>
      </c>
      <c r="W49" s="5">
        <v>1.7000000000000001E-2</v>
      </c>
      <c r="X49" s="33">
        <f>SUMPRODUCT(slk1wu182022[[#This Row],[1]:[17]]*(slk1wu182022[[#This Row],[1]:[17]]&gt;=slk1wu182022[[#This Row],[L]]))</f>
        <v>0.13800000000000001</v>
      </c>
      <c r="Y49" s="99">
        <f>IF(slk1wu182022[[#This Row],[Name]]="",0,LARGE(slk1wu182022[[#This Row],[1]:[17]],$D$2))</f>
        <v>6.0000000000000001E-3</v>
      </c>
      <c r="Z49" s="88" t="str">
        <f>IF(OR((COUNTIFS(slk1wu182022[[#This Row],[1]:[17]],"="&amp;slk1wu182022[[#This Row],[L]])=16),(COUNTIFS(slk1wu182022[[#This Row],[1]:[17]],"="&amp;slk1wu182022[[#This Row],[L]])&lt;2)),"OK","Fehler (zu wenig Streicher) [Gleiche Werte jeweils um 0,1 erhöhen]")</f>
        <v>OK</v>
      </c>
    </row>
    <row r="50" spans="1:26" ht="12" hidden="1">
      <c r="A50" s="32"/>
      <c r="B50" s="20">
        <f>IF(slk1wu182022[[#This Row],[Name]]="","",_xlfn.RANK.EQ(slk1wu182022[[#This Row],[Result]],slk1wu182022[Result],0))</f>
        <v>5</v>
      </c>
      <c r="C50" s="1" t="s">
        <v>92</v>
      </c>
      <c r="D50" s="1" t="s">
        <v>93</v>
      </c>
      <c r="E50" s="2" t="s">
        <v>94</v>
      </c>
      <c r="F50" s="20" t="s">
        <v>39</v>
      </c>
      <c r="G50" s="5">
        <v>1E-3</v>
      </c>
      <c r="H50" s="5">
        <v>2E-3</v>
      </c>
      <c r="I50" s="5">
        <v>3.0000000000000001E-3</v>
      </c>
      <c r="J50" s="5">
        <v>4.0000000000000001E-3</v>
      </c>
      <c r="K50" s="5">
        <v>5.0000000000000001E-3</v>
      </c>
      <c r="L50" s="5">
        <v>6.0000000000000001E-3</v>
      </c>
      <c r="M50" s="5">
        <v>7.0000000000000001E-3</v>
      </c>
      <c r="N50" s="5">
        <v>8.0000000000000002E-3</v>
      </c>
      <c r="O50" s="5">
        <v>8.9999999999999993E-3</v>
      </c>
      <c r="P50" s="5">
        <v>0.01</v>
      </c>
      <c r="Q50" s="5">
        <v>1.0999999999999999E-2</v>
      </c>
      <c r="R50" s="5">
        <v>1.2E-2</v>
      </c>
      <c r="S50" s="5">
        <v>1.2999999999999999E-2</v>
      </c>
      <c r="T50" s="5">
        <v>1.4E-2</v>
      </c>
      <c r="U50" s="5">
        <v>1.4999999999999999E-2</v>
      </c>
      <c r="V50" s="5">
        <v>1.6E-2</v>
      </c>
      <c r="W50" s="5">
        <v>1.7000000000000001E-2</v>
      </c>
      <c r="X50" s="33">
        <f>SUMPRODUCT(slk1wu182022[[#This Row],[1]:[17]]*(slk1wu182022[[#This Row],[1]:[17]]&gt;=slk1wu182022[[#This Row],[L]]))</f>
        <v>0.13800000000000001</v>
      </c>
      <c r="Y50" s="99">
        <f>IF(slk1wu182022[[#This Row],[Name]]="",0,LARGE(slk1wu182022[[#This Row],[1]:[17]],$D$2))</f>
        <v>6.0000000000000001E-3</v>
      </c>
      <c r="Z50" s="88" t="str">
        <f>IF(OR((COUNTIFS(slk1wu182022[[#This Row],[1]:[17]],"="&amp;slk1wu182022[[#This Row],[L]])=16),(COUNTIFS(slk1wu182022[[#This Row],[1]:[17]],"="&amp;slk1wu182022[[#This Row],[L]])&lt;2)),"OK","Fehler (zu wenig Streicher) [Gleiche Werte jeweils um 0,1 erhöhen]")</f>
        <v>OK</v>
      </c>
    </row>
    <row r="51" spans="1:26" ht="12" hidden="1">
      <c r="A51" s="32"/>
      <c r="B51" s="20">
        <f>IF(slk1wu182022[[#This Row],[Name]]="","",_xlfn.RANK.EQ(slk1wu182022[[#This Row],[Result]],slk1wu182022[Result],0))</f>
        <v>5</v>
      </c>
      <c r="C51" s="1" t="s">
        <v>92</v>
      </c>
      <c r="D51" s="1" t="s">
        <v>93</v>
      </c>
      <c r="E51" s="2" t="s">
        <v>94</v>
      </c>
      <c r="F51" s="20" t="s">
        <v>39</v>
      </c>
      <c r="G51" s="5">
        <v>1E-3</v>
      </c>
      <c r="H51" s="5">
        <v>2E-3</v>
      </c>
      <c r="I51" s="5">
        <v>3.0000000000000001E-3</v>
      </c>
      <c r="J51" s="5">
        <v>4.0000000000000001E-3</v>
      </c>
      <c r="K51" s="5">
        <v>5.0000000000000001E-3</v>
      </c>
      <c r="L51" s="5">
        <v>6.0000000000000001E-3</v>
      </c>
      <c r="M51" s="5">
        <v>7.0000000000000001E-3</v>
      </c>
      <c r="N51" s="5">
        <v>8.0000000000000002E-3</v>
      </c>
      <c r="O51" s="5">
        <v>8.9999999999999993E-3</v>
      </c>
      <c r="P51" s="5">
        <v>0.01</v>
      </c>
      <c r="Q51" s="5">
        <v>1.0999999999999999E-2</v>
      </c>
      <c r="R51" s="5">
        <v>1.2E-2</v>
      </c>
      <c r="S51" s="5">
        <v>1.2999999999999999E-2</v>
      </c>
      <c r="T51" s="5">
        <v>1.4E-2</v>
      </c>
      <c r="U51" s="5">
        <v>1.4999999999999999E-2</v>
      </c>
      <c r="V51" s="5">
        <v>1.6E-2</v>
      </c>
      <c r="W51" s="5">
        <v>1.7000000000000001E-2</v>
      </c>
      <c r="X51" s="33">
        <f>SUMPRODUCT(slk1wu182022[[#This Row],[1]:[17]]*(slk1wu182022[[#This Row],[1]:[17]]&gt;=slk1wu182022[[#This Row],[L]]))</f>
        <v>0.13800000000000001</v>
      </c>
      <c r="Y51" s="99">
        <f>IF(slk1wu182022[[#This Row],[Name]]="",0,LARGE(slk1wu182022[[#This Row],[1]:[17]],$D$2))</f>
        <v>6.0000000000000001E-3</v>
      </c>
      <c r="Z51" s="88" t="str">
        <f>IF(OR((COUNTIFS(slk1wu182022[[#This Row],[1]:[17]],"="&amp;slk1wu182022[[#This Row],[L]])=16),(COUNTIFS(slk1wu182022[[#This Row],[1]:[17]],"="&amp;slk1wu182022[[#This Row],[L]])&lt;2)),"OK","Fehler (zu wenig Streicher) [Gleiche Werte jeweils um 0,1 erhöhen]")</f>
        <v>OK</v>
      </c>
    </row>
    <row r="52" spans="1:26" ht="12" hidden="1">
      <c r="A52" s="32"/>
      <c r="B52" s="20">
        <f>IF(slk1wu182022[[#This Row],[Name]]="","",_xlfn.RANK.EQ(slk1wu182022[[#This Row],[Result]],slk1wu182022[Result],0))</f>
        <v>5</v>
      </c>
      <c r="C52" s="1" t="s">
        <v>92</v>
      </c>
      <c r="D52" s="1" t="s">
        <v>93</v>
      </c>
      <c r="E52" s="2" t="s">
        <v>94</v>
      </c>
      <c r="F52" s="20" t="s">
        <v>39</v>
      </c>
      <c r="G52" s="5">
        <v>1E-3</v>
      </c>
      <c r="H52" s="5">
        <v>2E-3</v>
      </c>
      <c r="I52" s="5">
        <v>3.0000000000000001E-3</v>
      </c>
      <c r="J52" s="5">
        <v>4.0000000000000001E-3</v>
      </c>
      <c r="K52" s="5">
        <v>5.0000000000000001E-3</v>
      </c>
      <c r="L52" s="5">
        <v>6.0000000000000001E-3</v>
      </c>
      <c r="M52" s="5">
        <v>7.0000000000000001E-3</v>
      </c>
      <c r="N52" s="5">
        <v>8.0000000000000002E-3</v>
      </c>
      <c r="O52" s="5">
        <v>8.9999999999999993E-3</v>
      </c>
      <c r="P52" s="5">
        <v>0.01</v>
      </c>
      <c r="Q52" s="5">
        <v>1.0999999999999999E-2</v>
      </c>
      <c r="R52" s="5">
        <v>1.2E-2</v>
      </c>
      <c r="S52" s="5">
        <v>1.2999999999999999E-2</v>
      </c>
      <c r="T52" s="5">
        <v>1.4E-2</v>
      </c>
      <c r="U52" s="5">
        <v>1.4999999999999999E-2</v>
      </c>
      <c r="V52" s="5">
        <v>1.6E-2</v>
      </c>
      <c r="W52" s="5">
        <v>1.7000000000000001E-2</v>
      </c>
      <c r="X52" s="33">
        <f>SUMPRODUCT(slk1wu182022[[#This Row],[1]:[17]]*(slk1wu182022[[#This Row],[1]:[17]]&gt;=slk1wu182022[[#This Row],[L]]))</f>
        <v>0.13800000000000001</v>
      </c>
      <c r="Y52" s="99">
        <f>IF(slk1wu182022[[#This Row],[Name]]="",0,LARGE(slk1wu182022[[#This Row],[1]:[17]],$D$2))</f>
        <v>6.0000000000000001E-3</v>
      </c>
      <c r="Z52" s="88" t="str">
        <f>IF(OR((COUNTIFS(slk1wu182022[[#This Row],[1]:[17]],"="&amp;slk1wu182022[[#This Row],[L]])=16),(COUNTIFS(slk1wu182022[[#This Row],[1]:[17]],"="&amp;slk1wu182022[[#This Row],[L]])&lt;2)),"OK","Fehler (zu wenig Streicher) [Gleiche Werte jeweils um 0,1 erhöhen]")</f>
        <v>OK</v>
      </c>
    </row>
    <row r="53" spans="1:26" ht="12" hidden="1">
      <c r="A53" s="32"/>
      <c r="B53" s="20" t="str">
        <f>IF(slk1wu182022[[#This Row],[Name]]="","",_xlfn.RANK.EQ(slk1wu182022[[#This Row],[Result]],slk1wu182022[Result],0))</f>
        <v/>
      </c>
      <c r="E53" s="2"/>
      <c r="F53" s="20"/>
      <c r="G53" s="5">
        <v>1E-3</v>
      </c>
      <c r="H53" s="5">
        <v>2E-3</v>
      </c>
      <c r="I53" s="5">
        <v>3.0000000000000001E-3</v>
      </c>
      <c r="J53" s="5">
        <v>4.0000000000000001E-3</v>
      </c>
      <c r="K53" s="5">
        <v>5.0000000000000001E-3</v>
      </c>
      <c r="L53" s="5">
        <v>6.0000000000000001E-3</v>
      </c>
      <c r="M53" s="5">
        <v>7.0000000000000001E-3</v>
      </c>
      <c r="N53" s="5">
        <v>8.0000000000000002E-3</v>
      </c>
      <c r="O53" s="5">
        <v>8.9999999999999993E-3</v>
      </c>
      <c r="P53" s="5">
        <v>0.01</v>
      </c>
      <c r="Q53" s="5">
        <v>1.0999999999999999E-2</v>
      </c>
      <c r="R53" s="5">
        <v>1.2E-2</v>
      </c>
      <c r="S53" s="5">
        <v>1.2999999999999999E-2</v>
      </c>
      <c r="T53" s="5">
        <v>1.4E-2</v>
      </c>
      <c r="U53" s="5">
        <v>1.4999999999999999E-2</v>
      </c>
      <c r="V53" s="5">
        <v>1.6E-2</v>
      </c>
      <c r="W53" s="5">
        <v>1.7000000000000001E-2</v>
      </c>
      <c r="X53" s="33">
        <f>SUMPRODUCT(slk1wu182022[[#This Row],[1]:[17]]*(slk1wu182022[[#This Row],[1]:[17]]&gt;=slk1wu182022[[#This Row],[L]]))</f>
        <v>0.15300000000000002</v>
      </c>
      <c r="Y53" s="99">
        <f>IF(slk1wu182022[[#This Row],[Name]]="",0,LARGE(slk1wu182022[[#This Row],[1]:[17]],$D$2))</f>
        <v>0</v>
      </c>
      <c r="Z53" s="88" t="str">
        <f>IF(OR((COUNTIFS(slk1wu182022[[#This Row],[1]:[17]],"="&amp;slk1wu182022[[#This Row],[L]])=16),(COUNTIFS(slk1wu182022[[#This Row],[1]:[17]],"="&amp;slk1wu182022[[#This Row],[L]])&lt;2)),"OK","Fehler (zu wenig Streicher) [Gleiche Werte jeweils um 0,1 erhöhen]")</f>
        <v>OK</v>
      </c>
    </row>
    <row r="54" spans="1:26" ht="12" hidden="1">
      <c r="A54" s="32"/>
      <c r="B54" s="20" t="str">
        <f>IF(slk1wu182022[[#This Row],[Name]]="","",_xlfn.RANK.EQ(slk1wu182022[[#This Row],[Result]],slk1wu182022[Result],0))</f>
        <v/>
      </c>
      <c r="E54" s="2"/>
      <c r="F54" s="20"/>
      <c r="G54" s="5">
        <v>1E-3</v>
      </c>
      <c r="H54" s="5">
        <v>2E-3</v>
      </c>
      <c r="I54" s="5">
        <v>3.0000000000000001E-3</v>
      </c>
      <c r="J54" s="5">
        <v>4.0000000000000001E-3</v>
      </c>
      <c r="K54" s="5">
        <v>5.0000000000000001E-3</v>
      </c>
      <c r="L54" s="5">
        <v>6.0000000000000001E-3</v>
      </c>
      <c r="M54" s="5">
        <v>7.0000000000000001E-3</v>
      </c>
      <c r="N54" s="5">
        <v>8.0000000000000002E-3</v>
      </c>
      <c r="O54" s="5">
        <v>8.9999999999999993E-3</v>
      </c>
      <c r="P54" s="5">
        <v>0.01</v>
      </c>
      <c r="Q54" s="5">
        <v>1.0999999999999999E-2</v>
      </c>
      <c r="R54" s="5">
        <v>1.2E-2</v>
      </c>
      <c r="S54" s="5">
        <v>1.2999999999999999E-2</v>
      </c>
      <c r="T54" s="5">
        <v>1.4E-2</v>
      </c>
      <c r="U54" s="5">
        <v>1.4999999999999999E-2</v>
      </c>
      <c r="V54" s="5">
        <v>1.6E-2</v>
      </c>
      <c r="W54" s="5">
        <v>1.7000000000000001E-2</v>
      </c>
      <c r="X54" s="33">
        <f>SUMPRODUCT(slk1wu182022[[#This Row],[1]:[17]]*(slk1wu182022[[#This Row],[1]:[17]]&gt;=slk1wu182022[[#This Row],[L]]))</f>
        <v>0.15300000000000002</v>
      </c>
      <c r="Y54" s="99">
        <f>IF(slk1wu182022[[#This Row],[Name]]="",0,LARGE(slk1wu182022[[#This Row],[1]:[17]],$D$2))</f>
        <v>0</v>
      </c>
      <c r="Z54" s="88" t="str">
        <f>IF(OR((COUNTIFS(slk1wu182022[[#This Row],[1]:[17]],"="&amp;slk1wu182022[[#This Row],[L]])=16),(COUNTIFS(slk1wu182022[[#This Row],[1]:[17]],"="&amp;slk1wu182022[[#This Row],[L]])&lt;2)),"OK","Fehler (zu wenig Streicher) [Gleiche Werte jeweils um 0,1 erhöhen]")</f>
        <v>OK</v>
      </c>
    </row>
    <row r="55" spans="1:26" ht="12.75" hidden="1" thickBot="1">
      <c r="A55" s="34"/>
      <c r="B55" s="35" t="str">
        <f>IF(slk1wu182022[[#This Row],[Name]]="","",_xlfn.RANK.EQ(slk1wu182022[[#This Row],[Result]],slk1wu182022[Result],0))</f>
        <v/>
      </c>
      <c r="C55" s="51"/>
      <c r="D55" s="51"/>
      <c r="E55" s="52"/>
      <c r="F55" s="35"/>
      <c r="G55" s="36">
        <v>1E-3</v>
      </c>
      <c r="H55" s="36">
        <v>2E-3</v>
      </c>
      <c r="I55" s="36">
        <v>3.0000000000000001E-3</v>
      </c>
      <c r="J55" s="36">
        <v>4.0000000000000001E-3</v>
      </c>
      <c r="K55" s="36">
        <v>5.0000000000000001E-3</v>
      </c>
      <c r="L55" s="36">
        <v>6.0000000000000001E-3</v>
      </c>
      <c r="M55" s="36">
        <v>7.0000000000000001E-3</v>
      </c>
      <c r="N55" s="36">
        <v>8.0000000000000002E-3</v>
      </c>
      <c r="O55" s="36">
        <v>8.9999999999999993E-3</v>
      </c>
      <c r="P55" s="36">
        <v>0.01</v>
      </c>
      <c r="Q55" s="36">
        <v>1.0999999999999999E-2</v>
      </c>
      <c r="R55" s="36">
        <v>1.2E-2</v>
      </c>
      <c r="S55" s="36">
        <v>1.2999999999999999E-2</v>
      </c>
      <c r="T55" s="36">
        <v>1.4E-2</v>
      </c>
      <c r="U55" s="36">
        <v>1.4999999999999999E-2</v>
      </c>
      <c r="V55" s="36">
        <v>1.6E-2</v>
      </c>
      <c r="W55" s="36">
        <v>1.7000000000000001E-2</v>
      </c>
      <c r="X55" s="37">
        <f>SUMPRODUCT(slk1wu182022[[#This Row],[1]:[17]]*(slk1wu182022[[#This Row],[1]:[17]]&gt;=slk1wu182022[[#This Row],[L]]))</f>
        <v>0.15300000000000002</v>
      </c>
      <c r="Y55" s="99">
        <f>IF(slk1wu182022[[#This Row],[Name]]="",0,LARGE(slk1wu182022[[#This Row],[1]:[17]],$D$2))</f>
        <v>0</v>
      </c>
      <c r="Z55" s="88" t="str">
        <f>IF(OR((COUNTIFS(slk1wu182022[[#This Row],[1]:[17]],"="&amp;slk1wu182022[[#This Row],[L]])=16),(COUNTIFS(slk1wu182022[[#This Row],[1]:[17]],"="&amp;slk1wu182022[[#This Row],[L]])&lt;2)),"OK","Fehler (zu wenig Streicher) [Gleiche Werte jeweils um 0,1 erhöhen]")</f>
        <v>OK</v>
      </c>
    </row>
    <row r="65" spans="3:5">
      <c r="E65" s="164"/>
    </row>
    <row r="66" spans="3:5">
      <c r="C66" s="165"/>
      <c r="D66" s="166"/>
      <c r="E66" s="164"/>
    </row>
    <row r="67" spans="3:5">
      <c r="C67" s="166"/>
      <c r="D67" s="166"/>
    </row>
    <row r="68" spans="3:5">
      <c r="C68" s="167"/>
    </row>
  </sheetData>
  <mergeCells count="28">
    <mergeCell ref="A41:F41"/>
    <mergeCell ref="Y40:Y41"/>
    <mergeCell ref="I4:M4"/>
    <mergeCell ref="I2:M2"/>
    <mergeCell ref="D1:X1"/>
    <mergeCell ref="I3:L3"/>
    <mergeCell ref="A1:C1"/>
    <mergeCell ref="G4:H4"/>
    <mergeCell ref="R4:S4"/>
    <mergeCell ref="V4:W4"/>
    <mergeCell ref="T4:U4"/>
    <mergeCell ref="D2:F5"/>
    <mergeCell ref="AE1:AI1"/>
    <mergeCell ref="G2:H2"/>
    <mergeCell ref="G3:H3"/>
    <mergeCell ref="V2:W2"/>
    <mergeCell ref="A2:C5"/>
    <mergeCell ref="P4:Q4"/>
    <mergeCell ref="V3:W3"/>
    <mergeCell ref="R2:U2"/>
    <mergeCell ref="P2:Q2"/>
    <mergeCell ref="P3:Q3"/>
    <mergeCell ref="N4:O4"/>
    <mergeCell ref="Y5:Y6"/>
    <mergeCell ref="A6:F6"/>
    <mergeCell ref="N2:O2"/>
    <mergeCell ref="S3:T3"/>
    <mergeCell ref="N3:O3"/>
  </mergeCells>
  <phoneticPr fontId="11" type="noConversion"/>
  <conditionalFormatting sqref="G8:Y36 G43:Y55">
    <cfRule type="expression" dxfId="58" priority="6">
      <formula>G8&lt;1</formula>
    </cfRule>
  </conditionalFormatting>
  <conditionalFormatting sqref="G8:W35 I9:W36 G43:W55">
    <cfRule type="expression" dxfId="57" priority="8">
      <formula>G8&lt;$Y8</formula>
    </cfRule>
  </conditionalFormatting>
  <conditionalFormatting sqref="G8:X36 G43:X55">
    <cfRule type="expression" dxfId="56" priority="7">
      <formula>G8&gt;=$Y8</formula>
    </cfRule>
  </conditionalFormatting>
  <pageMargins left="0.39370078740157483" right="0.19685039370078741" top="0.39370078740157483" bottom="0.39370078740157483" header="0.31496062992125984" footer="0.31496062992125984"/>
  <pageSetup paperSize="9" scale="68" fitToHeight="3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41412429BA534297466127CA432431" ma:contentTypeVersion="2" ma:contentTypeDescription="Ein neues Dokument erstellen." ma:contentTypeScope="" ma:versionID="fe0f8492e42a6327748ee1b17668bac6">
  <xsd:schema xmlns:xsd="http://www.w3.org/2001/XMLSchema" xmlns:xs="http://www.w3.org/2001/XMLSchema" xmlns:p="http://schemas.microsoft.com/office/2006/metadata/properties" xmlns:ns2="daa5b498-5dcf-46ac-b20b-7fa3d039b561" targetNamespace="http://schemas.microsoft.com/office/2006/metadata/properties" ma:root="true" ma:fieldsID="72f9dd2e5d0a4f6356f2e8d996d28fb8" ns2:_="">
    <xsd:import namespace="daa5b498-5dcf-46ac-b20b-7fa3d039b5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a5b498-5dcf-46ac-b20b-7fa3d039b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BBA0E1-F787-4BAA-9678-63C55CF36C45}"/>
</file>

<file path=customXml/itemProps2.xml><?xml version="1.0" encoding="utf-8"?>
<ds:datastoreItem xmlns:ds="http://schemas.openxmlformats.org/officeDocument/2006/customXml" ds:itemID="{9874B7BC-E2D3-4851-9BC0-3A4D3E8DE916}"/>
</file>

<file path=customXml/itemProps3.xml><?xml version="1.0" encoding="utf-8"?>
<ds:datastoreItem xmlns:ds="http://schemas.openxmlformats.org/officeDocument/2006/customXml" ds:itemID="{9C99FB53-A8DB-4DDA-BB43-F0FA58E4F0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Wilhelmer, Gerald</dc:creator>
  <cp:keywords/>
  <dc:description/>
  <cp:lastModifiedBy>Gerald Wilhelmer</cp:lastModifiedBy>
  <cp:revision/>
  <dcterms:created xsi:type="dcterms:W3CDTF">2020-10-14T06:06:32Z</dcterms:created>
  <dcterms:modified xsi:type="dcterms:W3CDTF">2023-01-16T11:30:14Z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0x0101003941412429BA534297466127CA432431</vt:lpwstr>
  </property>
</Properties>
</file>